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Le Cap Horizon" sheetId="1" state="visible" r:id="rId1"/>
    <sheet xmlns:r="http://schemas.openxmlformats.org/officeDocument/2006/relationships" name="2 Les deux bilans" sheetId="2" state="visible" r:id="rId2"/>
    <sheet xmlns:r="http://schemas.openxmlformats.org/officeDocument/2006/relationships" name="3 La decomposition" sheetId="3" state="visible" r:id="rId3"/>
    <sheet xmlns:r="http://schemas.openxmlformats.org/officeDocument/2006/relationships" name="4 La soustraction" sheetId="4" state="visible" r:id="rId4"/>
    <sheet xmlns:r="http://schemas.openxmlformats.org/officeDocument/2006/relationships" name="5 Les trois scenarios" sheetId="5" state="visible" r:id="rId5"/>
    <sheet xmlns:r="http://schemas.openxmlformats.org/officeDocument/2006/relationships" name="6 Les surfaces" sheetId="6" state="visible" r:id="rId6"/>
    <sheet xmlns:r="http://schemas.openxmlformats.org/officeDocument/2006/relationships" name="7 Controles" sheetId="7" state="visible" r:id="rId7"/>
  </sheets>
  <definedNames/>
  <calcPr calcId="124519" fullCalcOnLoad="1"/>
</workbook>
</file>

<file path=xl/styles.xml><?xml version="1.0" encoding="utf-8"?>
<styleSheet xmlns="http://schemas.openxmlformats.org/spreadsheetml/2006/main">
  <numFmts count="3">
    <numFmt numFmtId="164" formatCode="0.0%"/>
    <numFmt numFmtId="165" formatCode="0.00&quot;x&quot;"/>
    <numFmt numFmtId="166" formatCode="#,##0.0"/>
  </numFmts>
  <fonts count="5">
    <font>
      <name val="Calibri"/>
      <family val="2"/>
      <color theme="1"/>
      <sz val="11"/>
      <scheme val="minor"/>
    </font>
    <font>
      <b val="1"/>
      <sz val="13"/>
    </font>
    <font>
      <i val="1"/>
      <color rgb="00666666"/>
      <sz val="9"/>
    </font>
    <font>
      <b val="1"/>
    </font>
    <font>
      <b val="1"/>
      <color rgb="00FFFFFF"/>
    </font>
  </fonts>
  <fills count="6">
    <fill>
      <patternFill/>
    </fill>
    <fill>
      <patternFill patternType="gray125"/>
    </fill>
    <fill>
      <patternFill patternType="solid">
        <fgColor rgb="00EDEDED"/>
      </patternFill>
    </fill>
    <fill>
      <patternFill patternType="solid">
        <fgColor rgb="00FFF2CC"/>
      </patternFill>
    </fill>
    <fill>
      <patternFill patternType="solid">
        <fgColor rgb="001B1F27"/>
      </patternFill>
    </fill>
    <fill>
      <patternFill patternType="solid">
        <fgColor rgb="00E2EFDA"/>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26">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0" fillId="2" borderId="0" pivotButton="0" quotePrefix="0" xfId="0"/>
    <xf numFmtId="3" fontId="0" fillId="3" borderId="1" pivotButton="0" quotePrefix="0" xfId="0"/>
    <xf numFmtId="164" fontId="0" fillId="3" borderId="1" pivotButton="0" quotePrefix="0" xfId="0"/>
    <xf numFmtId="0" fontId="4" fillId="4" borderId="0" applyAlignment="1" pivotButton="0" quotePrefix="0" xfId="0">
      <alignment horizontal="center" wrapText="1"/>
    </xf>
    <xf numFmtId="3" fontId="0" fillId="0" borderId="0" pivotButton="0" quotePrefix="0" xfId="0"/>
    <xf numFmtId="4" fontId="0" fillId="0" borderId="0" pivotButton="0" quotePrefix="0" xfId="0"/>
    <xf numFmtId="3" fontId="3" fillId="5" borderId="0" pivotButton="0" quotePrefix="0" xfId="0"/>
    <xf numFmtId="10" fontId="0" fillId="0" borderId="0" pivotButton="0" quotePrefix="0" xfId="0"/>
    <xf numFmtId="10" fontId="3" fillId="5" borderId="0" pivotButton="0" quotePrefix="0" xfId="0"/>
    <xf numFmtId="164" fontId="0" fillId="0" borderId="0" pivotButton="0" quotePrefix="0" xfId="0"/>
    <xf numFmtId="0" fontId="3" fillId="0" borderId="0" pivotButton="0" quotePrefix="0" xfId="0"/>
    <xf numFmtId="3" fontId="3" fillId="0" borderId="0" pivotButton="0" quotePrefix="0" xfId="0"/>
    <xf numFmtId="0" fontId="3" fillId="5" borderId="0" pivotButton="0" quotePrefix="0" xfId="0"/>
    <xf numFmtId="165" fontId="3" fillId="0" borderId="0" pivotButton="0" quotePrefix="0" xfId="0"/>
    <xf numFmtId="164" fontId="3" fillId="0" borderId="0" pivotButton="0" quotePrefix="0" xfId="0"/>
    <xf numFmtId="164" fontId="3" fillId="5" borderId="0" pivotButton="0" quotePrefix="0" xfId="0"/>
    <xf numFmtId="10" fontId="3" fillId="0" borderId="0" pivotButton="0" quotePrefix="0" xfId="0"/>
    <xf numFmtId="165" fontId="3" fillId="5" borderId="0" pivotButton="0" quotePrefix="0" xfId="0"/>
    <xf numFmtId="166" fontId="0" fillId="0" borderId="0" pivotButton="0" quotePrefix="0" xfId="0"/>
    <xf numFmtId="10" fontId="0" fillId="3" borderId="1" pivotButton="0" quotePrefix="0" xfId="0"/>
    <xf numFmtId="4" fontId="3" fillId="5" borderId="0" pivotButton="0" quotePrefix="0" xfId="0"/>
    <xf numFmtId="4"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1"/>
  <sheetViews>
    <sheetView showGridLines="0" workbookViewId="0">
      <pane ySplit="4" topLeftCell="A5" activePane="bottomLeft" state="frozen"/>
      <selection pane="bottomLeft" activeCell="A1" sqref="A1"/>
    </sheetView>
  </sheetViews>
  <sheetFormatPr baseColWidth="8" defaultRowHeight="15"/>
  <cols>
    <col width="48" customWidth="1" min="1" max="1"/>
    <col width="16" customWidth="1" min="2" max="2"/>
    <col width="3" customWidth="1" min="3" max="3"/>
    <col width="62" customWidth="1" min="4" max="4"/>
  </cols>
  <sheetData>
    <row r="1">
      <c r="A1" s="1" t="inlineStr">
        <is>
          <t>Le Cap Horizon — toutes les donnees du chapitre 16</t>
        </is>
      </c>
    </row>
    <row r="2">
      <c r="A2" s="2" t="inlineStr">
        <is>
          <t>Le chapitre raconte un redressement complet en toutes lettres : surfaces, loyers, expertises, cout du programme, resultat a vingt-quatre mois. Tous les chiffres y sont. Aucun n'est divise par un autre. Ce classeur ne fait que les diviser. Chaque cellule ambree est imprimee dans le livre ; aucune n'est ajoutee, sauf les deux du bas, signalees.</t>
        </is>
      </c>
    </row>
    <row r="4">
      <c r="A4" s="3" t="inlineStr">
        <is>
          <t>A LA REPRISE</t>
        </is>
      </c>
      <c r="B4" s="4" t="n"/>
      <c r="C4" s="4" t="n"/>
      <c r="D4" s="4" t="n"/>
    </row>
    <row r="5">
      <c r="A5" t="inlineStr">
        <is>
          <t>Surface totale, m2</t>
        </is>
      </c>
      <c r="B5" s="5" t="n">
        <v>6200</v>
      </c>
      <c r="D5" s="2" t="inlineStr">
        <is>
          <t>« six mille deux cents metres carres »</t>
        </is>
      </c>
    </row>
    <row r="6">
      <c r="A6" t="inlineStr">
        <is>
          <t>Taux d'occupation physique</t>
        </is>
      </c>
      <c r="B6" s="6" t="n">
        <v>0.63</v>
      </c>
      <c r="D6" s="2" t="inlineStr">
        <is>
          <t>« soixante-trois pour cent »</t>
        </is>
      </c>
    </row>
    <row r="7">
      <c r="A7" t="inlineStr">
        <is>
          <t>Loyers annuels</t>
        </is>
      </c>
      <c r="B7" s="5" t="n">
        <v>740000</v>
      </c>
      <c r="D7" s="2" t="inlineStr">
        <is>
          <t>« sept cent quarante mille euros »</t>
        </is>
      </c>
    </row>
    <row r="8">
      <c r="A8" t="inlineStr">
        <is>
          <t>Loyer moyen facial imprime, EUR/m2</t>
        </is>
      </c>
      <c r="B8" s="5" t="n">
        <v>189</v>
      </c>
      <c r="D8" s="2" t="inlineStr">
        <is>
          <t>« cent quatre-vingt-neuf euros du metre carre »</t>
        </is>
      </c>
    </row>
    <row r="9">
      <c r="A9" t="inlineStr">
        <is>
          <t>Charges non recuperables</t>
        </is>
      </c>
      <c r="B9" s="5" t="n">
        <v>310000</v>
      </c>
      <c r="D9" s="2" t="inlineStr">
        <is>
          <t>« trois cent dix mille euros par an »</t>
        </is>
      </c>
    </row>
    <row r="10">
      <c r="A10" t="inlineStr">
        <is>
          <t>Derniere expertise</t>
        </is>
      </c>
      <c r="B10" s="5" t="n">
        <v>11200000</v>
      </c>
      <c r="D10" s="2" t="inlineStr">
        <is>
          <t>« onze virgule deux millions »</t>
        </is>
      </c>
    </row>
    <row r="11">
      <c r="A11" t="inlineStr">
        <is>
          <t>Prix d'acquisition, il y a quatre ans</t>
        </is>
      </c>
      <c r="B11" s="5" t="n">
        <v>14000000</v>
      </c>
      <c r="D11" s="2" t="inlineStr">
        <is>
          <t>« quatorze millions »</t>
        </is>
      </c>
    </row>
    <row r="12">
      <c r="A12" t="inlineStr">
        <is>
          <t>Surfaces vacantes, m2</t>
        </is>
      </c>
      <c r="B12" s="5" t="n">
        <v>2300</v>
      </c>
      <c r="D12" s="2" t="inlineStr">
        <is>
          <t>« deux mille trois cents metres carres »</t>
        </is>
      </c>
    </row>
    <row r="13">
      <c r="A13" t="inlineStr">
        <is>
          <t>dont le plateau libere, m2</t>
        </is>
      </c>
      <c r="B13" s="5" t="n">
        <v>1400</v>
      </c>
      <c r="D13" s="2" t="inlineStr">
        <is>
          <t>« un plateau entier de mille quatre cents »</t>
        </is>
      </c>
    </row>
    <row r="14">
      <c r="A14" t="inlineStr">
        <is>
          <t>Part du plus gros preneur dans les loyers</t>
        </is>
      </c>
      <c r="B14" s="6" t="n">
        <v>0.38</v>
      </c>
      <c r="D14" s="2" t="inlineStr">
        <is>
          <t>« trente-huit pour cent des loyers »</t>
        </is>
      </c>
    </row>
    <row r="15">
      <c r="A15" t="inlineStr">
        <is>
          <t>Impayes</t>
        </is>
      </c>
      <c r="B15" s="5" t="n">
        <v>110000</v>
      </c>
      <c r="D15" s="2" t="inlineStr">
        <is>
          <t>« cent dix mille euros »</t>
        </is>
      </c>
    </row>
    <row r="17">
      <c r="A17" s="3" t="inlineStr">
        <is>
          <t>A VINGT-QUATRE MOIS</t>
        </is>
      </c>
      <c r="B17" s="4" t="n"/>
      <c r="C17" s="4" t="n"/>
      <c r="D17" s="4" t="n"/>
    </row>
    <row r="18">
      <c r="A18" t="inlineStr">
        <is>
          <t>Taux d'occupation physique</t>
        </is>
      </c>
      <c r="B18" s="6" t="n">
        <v>0.9399999999999999</v>
      </c>
      <c r="D18" s="2" t="inlineStr">
        <is>
          <t>« quatre-vingt-quatorze pour cent »</t>
        </is>
      </c>
    </row>
    <row r="19">
      <c r="A19" t="inlineStr">
        <is>
          <t>Loyers annuels</t>
        </is>
      </c>
      <c r="B19" s="5" t="n">
        <v>1090000</v>
      </c>
      <c r="D19" s="2" t="inlineStr">
        <is>
          <t>« un virgule zero neuf million »</t>
        </is>
      </c>
    </row>
    <row r="20">
      <c r="A20" t="inlineStr">
        <is>
          <t>Charges non recuperables</t>
        </is>
      </c>
      <c r="B20" s="5" t="n">
        <v>190000</v>
      </c>
      <c r="D20" s="2" t="inlineStr">
        <is>
          <t>« cent quatre-vingt-dix mille euros »</t>
        </is>
      </c>
    </row>
    <row r="21">
      <c r="A21" t="inlineStr">
        <is>
          <t>Nouvelle expertise</t>
        </is>
      </c>
      <c r="B21" s="5" t="n">
        <v>15100000</v>
      </c>
      <c r="D21" s="2" t="inlineStr">
        <is>
          <t>« quinze virgule une million »</t>
        </is>
      </c>
    </row>
    <row r="22">
      <c r="A22" t="inlineStr">
        <is>
          <t>Investi, travaux et accompagnements</t>
        </is>
      </c>
      <c r="B22" s="5" t="n">
        <v>2050000</v>
      </c>
      <c r="D22" s="2" t="inlineStr">
        <is>
          <t>« deux virgule zero cinq millions »</t>
        </is>
      </c>
    </row>
    <row r="23">
      <c r="A23" t="inlineStr">
        <is>
          <t>dont le programme de travaux</t>
        </is>
      </c>
      <c r="B23" s="5" t="n">
        <v>1900000</v>
      </c>
      <c r="D23" s="2" t="inlineStr">
        <is>
          <t>« un virgule neuf million, aleas de 12 % inclus »</t>
        </is>
      </c>
    </row>
    <row r="24">
      <c r="A24" t="inlineStr">
        <is>
          <t>Resultat recurrent de la gestion courante</t>
        </is>
      </c>
      <c r="B24" s="5" t="n">
        <v>70000</v>
      </c>
      <c r="D24" s="2" t="inlineStr">
        <is>
          <t>§ « six decisions » : « soixante-dix mille euros »</t>
        </is>
      </c>
    </row>
    <row r="25">
      <c r="A25" t="inlineStr">
        <is>
          <t>Loyer du premier lot signe, EUR/m2</t>
        </is>
      </c>
      <c r="B25" s="5" t="n">
        <v>240</v>
      </c>
      <c r="D25" s="2" t="inlineStr">
        <is>
          <t>« deux cent quarante euros », 480 m2</t>
        </is>
      </c>
    </row>
    <row r="26">
      <c r="A26" t="inlineStr">
        <is>
          <t>Loyer du deuxieme lot, EUR/m2</t>
        </is>
      </c>
      <c r="B26" s="5" t="n">
        <v>252</v>
      </c>
      <c r="D26" s="2" t="inlineStr">
        <is>
          <t>« deux cent cinquante-deux euros »</t>
        </is>
      </c>
    </row>
    <row r="27">
      <c r="A27" t="inlineStr">
        <is>
          <t>Objectif de loyer annonce, EUR/m2</t>
        </is>
      </c>
      <c r="B27" s="5" t="n">
        <v>250</v>
      </c>
      <c r="D27" s="2" t="inlineStr">
        <is>
          <t>« inferieur de dix euros a l'objectif »</t>
        </is>
      </c>
    </row>
    <row r="28">
      <c r="A28" t="inlineStr">
        <is>
          <t>Surface d'un lot, m2</t>
        </is>
      </c>
      <c r="B28" s="5" t="n">
        <v>480</v>
      </c>
      <c r="D28" s="2" t="inlineStr">
        <is>
          <t>« quatre cent quatre-vingts metres carres »</t>
        </is>
      </c>
    </row>
    <row r="29">
      <c r="A29" t="inlineStr">
        <is>
          <t>Surface liberee par le principal, m2</t>
        </is>
      </c>
      <c r="B29" s="5" t="n">
        <v>400</v>
      </c>
      <c r="D29" s="2" t="inlineStr">
        <is>
          <t>« quatre cents metres carres »</t>
        </is>
      </c>
    </row>
    <row r="30">
      <c r="A30" t="inlineStr">
        <is>
          <t>Reduction de surface du principal</t>
        </is>
      </c>
      <c r="B30" s="6" t="n">
        <v>0.3</v>
      </c>
      <c r="D30" s="2" t="inlineStr">
        <is>
          <t>« reduction de surface de trente pour cent »</t>
        </is>
      </c>
    </row>
    <row r="32">
      <c r="A32" s="3" t="inlineStr">
        <is>
          <t>LES TROIS SCENARIOS DU COMITE (§ « Decider du programme »)</t>
        </is>
      </c>
      <c r="B32" s="4" t="n"/>
      <c r="C32" s="4" t="n"/>
      <c r="D32" s="4" t="n"/>
    </row>
    <row r="33">
      <c r="A33" t="inlineStr">
        <is>
          <t>Statu quo : valeur projetee</t>
        </is>
      </c>
      <c r="B33" s="5" t="n">
        <v>9500000</v>
      </c>
      <c r="D33" s="2" t="inlineStr">
        <is>
          <t>« neuf virgule cinq millions dans cinq ans »</t>
        </is>
      </c>
    </row>
    <row r="34">
      <c r="A34" t="inlineStr">
        <is>
          <t>Statu quo : horizon, annees</t>
        </is>
      </c>
      <c r="B34" s="5" t="n">
        <v>5</v>
      </c>
      <c r="D34" s="2" t="inlineStr"/>
    </row>
    <row r="35">
      <c r="A35" t="inlineStr">
        <is>
          <t>Cession en l'etat : valeur</t>
        </is>
      </c>
      <c r="B35" s="5" t="n">
        <v>10200000</v>
      </c>
      <c r="D35" s="2" t="inlineStr">
        <is>
          <t>« dix virgule deux millions immediatement »</t>
        </is>
      </c>
    </row>
    <row r="36">
      <c r="A36" t="inlineStr">
        <is>
          <t>Repositionnement : valeur projetee</t>
        </is>
      </c>
      <c r="B36" s="5" t="n">
        <v>15300000</v>
      </c>
      <c r="D36" s="2" t="inlineStr">
        <is>
          <t>« quinze virgule trois millions »</t>
        </is>
      </c>
    </row>
    <row r="37">
      <c r="A37" t="inlineStr">
        <is>
          <t>Repositionnement : horizon, annees</t>
        </is>
      </c>
      <c r="B37" s="5" t="n">
        <v>2</v>
      </c>
      <c r="D37" s="2" t="inlineStr">
        <is>
          <t>le cas atteint 15,1 a vingt-quatre mois</t>
        </is>
      </c>
    </row>
    <row r="39">
      <c r="A39" s="3" t="inlineStr">
        <is>
          <t>A AJOUTER — deux valeurs que le livre ne donne pas</t>
        </is>
      </c>
      <c r="B39" s="4" t="n"/>
      <c r="C39" s="4" t="n"/>
      <c r="D39" s="4" t="n"/>
    </row>
    <row r="40">
      <c r="A40" t="inlineStr">
        <is>
          <t>Taux d'actualisation du fonds</t>
        </is>
      </c>
      <c r="B40" s="6" t="n">
        <v>0.08</v>
      </c>
      <c r="D40" s="2" t="inlineStr">
        <is>
          <t>AJOUTE — le livre ne compare jamais a une meme date</t>
        </is>
      </c>
    </row>
    <row r="41">
      <c r="A41" t="inlineStr">
        <is>
          <t>Nombre de lots crees</t>
        </is>
      </c>
      <c r="B41" s="5" t="n">
        <v>3</v>
      </c>
      <c r="D41" s="2" t="inlineStr">
        <is>
          <t>« trois lots », mais leur surface exacte varie de 450 a 500</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1"/>
  <sheetViews>
    <sheetView showGridLines="0" workbookViewId="0">
      <pane ySplit="4" topLeftCell="A5" activePane="bottomLeft" state="frozen"/>
      <selection pane="bottomLeft" activeCell="A1" sqref="A1"/>
    </sheetView>
  </sheetViews>
  <sheetFormatPr baseColWidth="8" defaultRowHeight="15"/>
  <cols>
    <col width="44" customWidth="1" min="1" max="1"/>
    <col width="18" customWidth="1" min="2" max="2"/>
    <col width="18" customWidth="1" min="3" max="3"/>
    <col width="18" customWidth="1" min="4" max="4"/>
    <col width="3" customWidth="1" min="5" max="5"/>
    <col width="60" customWidth="1" min="6" max="6"/>
  </cols>
  <sheetData>
    <row r="1">
      <c r="A1" s="1" t="inlineStr">
        <is>
          <t>Les deux bilans, et le taux que personne ne calcule</t>
        </is>
      </c>
    </row>
    <row r="2">
      <c r="A2" s="2" t="inlineStr">
        <is>
          <t>Le chapitre donne les loyers et les charges non recuperables aux deux dates. Il ne les soustrait jamais, et il ne rapporte jamais le resultat a l'expertise. Les deux operations tiennent en quatre lignes.</t>
        </is>
      </c>
    </row>
    <row r="4">
      <c r="A4" s="7" t="inlineStr"/>
      <c r="B4" s="7" t="inlineStr">
        <is>
          <t>A la reprise</t>
        </is>
      </c>
      <c r="C4" s="7" t="inlineStr">
        <is>
          <t>A vingt-quatre mois</t>
        </is>
      </c>
      <c r="D4" s="7" t="inlineStr">
        <is>
          <t>Ecart</t>
        </is>
      </c>
    </row>
    <row r="5">
      <c r="A5" t="inlineStr">
        <is>
          <t>Surfaces louees, m2</t>
        </is>
      </c>
      <c r="B5" s="8">
        <f>'1 Le Cap Horizon'!$B$5*'1 Le Cap Horizon'!$B$6</f>
        <v/>
      </c>
      <c r="C5" s="8">
        <f>'1 Le Cap Horizon'!$B$5*'1 Le Cap Horizon'!$B$18</f>
        <v/>
      </c>
      <c r="D5" s="8">
        <f>C5-B5</f>
        <v/>
      </c>
    </row>
    <row r="6">
      <c r="A6" t="inlineStr">
        <is>
          <t>Loyers annuels</t>
        </is>
      </c>
      <c r="B6" s="8">
        <f>'1 Le Cap Horizon'!$B$7</f>
        <v/>
      </c>
      <c r="C6" s="8">
        <f>'1 Le Cap Horizon'!$B$19</f>
        <v/>
      </c>
      <c r="D6" s="8">
        <f>C6-B6</f>
        <v/>
      </c>
    </row>
    <row r="7">
      <c r="A7" t="inlineStr">
        <is>
          <t>Loyer moyen facial, EUR/m2</t>
        </is>
      </c>
      <c r="B7" s="9">
        <f>B6/B5</f>
        <v/>
      </c>
      <c r="C7" s="9">
        <f>C6/C5</f>
        <v/>
      </c>
      <c r="D7" s="9">
        <f>C7-B7</f>
        <v/>
      </c>
      <c r="F7" s="2" t="inlineStr">
        <is>
          <t>Le livre imprime 189 EUR/m2 a la reprise. La colonne de gauche le retrouve. La colonne du milieu, en revanche, donne un loyer moyen PLUS BAS a l'arrivee, alors que les lots neufs se signent a 240 et 252. Voir la feuille 6.</t>
        </is>
      </c>
    </row>
    <row r="8">
      <c r="A8" t="inlineStr">
        <is>
          <t>Charges non recuperables</t>
        </is>
      </c>
      <c r="B8" s="8">
        <f>'1 Le Cap Horizon'!$B$9</f>
        <v/>
      </c>
      <c r="C8" s="8">
        <f>'1 Le Cap Horizon'!$B$20</f>
        <v/>
      </c>
      <c r="D8" s="8">
        <f>C8-B8</f>
        <v/>
      </c>
    </row>
    <row r="9">
      <c r="A9" t="inlineStr">
        <is>
          <t>Revenu net</t>
        </is>
      </c>
      <c r="B9" s="8">
        <f>B6-B8</f>
        <v/>
      </c>
      <c r="C9" s="8">
        <f>C6-C8</f>
        <v/>
      </c>
      <c r="D9" s="10">
        <f>C9-B9</f>
        <v/>
      </c>
      <c r="F9" s="2" t="inlineStr">
        <is>
          <t>+470 000 EUR : exactement le chiffre du livre. Le cas est juste.</t>
        </is>
      </c>
    </row>
    <row r="10">
      <c r="A10" t="inlineStr">
        <is>
          <t>Expertise</t>
        </is>
      </c>
      <c r="B10" s="8">
        <f>'1 Le Cap Horizon'!$B$10</f>
        <v/>
      </c>
      <c r="C10" s="8">
        <f>'1 Le Cap Horizon'!$B$21</f>
        <v/>
      </c>
      <c r="D10" s="10">
        <f>C10-B10</f>
        <v/>
      </c>
    </row>
    <row r="11">
      <c r="A11" t="inlineStr">
        <is>
          <t>Taux de rendement implicite</t>
        </is>
      </c>
      <c r="B11" s="11">
        <f>B9/B10</f>
        <v/>
      </c>
      <c r="C11" s="11">
        <f>C9/C10</f>
        <v/>
      </c>
      <c r="D11" s="12">
        <f>C11-B11</f>
        <v/>
      </c>
      <c r="F11" s="2" t="inlineStr">
        <is>
          <t>⚠ Le taux implicite MONTE de deux points. Un immeuble redresse est donc valorise sur un rendement plus eleve qu'un immeuble a moitie vide — ce qui n'a rien d'absurde : l'expertise d'entree ne capitalisait pas le revenu en place, elle valorisait deja une part de la reprise a venir. Mais personne ne le dit au comite.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4"/>
  <sheetViews>
    <sheetView showGridLines="0" workbookViewId="0">
      <pane ySplit="4" topLeftCell="A5" activePane="bottomLeft" state="frozen"/>
      <selection pane="bottomLeft" activeCell="A1" sqref="A1"/>
    </sheetView>
  </sheetViews>
  <sheetFormatPr baseColWidth="8" defaultRowHeight="15"/>
  <cols>
    <col width="52" customWidth="1" min="1" max="1"/>
    <col width="20" customWidth="1" min="2" max="2"/>
    <col width="18" customWidth="1" min="3" max="3"/>
    <col width="3" customWidth="1" min="4" max="4"/>
    <col width="60" customWidth="1" min="5" max="5"/>
  </cols>
  <sheetData>
    <row r="1">
      <c r="A1" s="1" t="inlineStr">
        <is>
          <t>La decomposition promise au comite, enfin faite</t>
        </is>
      </c>
    </row>
    <row r="2">
      <c r="A2" s="2" t="inlineStr">
        <is>
          <t>Le comite recoit « la decomposition de la creation de valeur, montrant que l'essentiel provient de l'effet revenu et non d'une hypothese de compression de taux ». La phrase est exacte. Elle est aussi un euphemisme, et la decomposition ne figure nulle part.</t>
        </is>
      </c>
    </row>
    <row r="4">
      <c r="A4" s="7" t="inlineStr">
        <is>
          <t>Composante</t>
        </is>
      </c>
      <c r="B4" s="7" t="inlineStr">
        <is>
          <t>Montant</t>
        </is>
      </c>
      <c r="C4" s="7" t="inlineStr">
        <is>
          <t>Part</t>
        </is>
      </c>
    </row>
    <row r="5">
      <c r="A5" t="inlineStr">
        <is>
          <t>Effet revenu : le revenu ajoute, au taux d'entree</t>
        </is>
      </c>
      <c r="B5" s="8">
        <f>('2 Les deux bilans'!D9)/'2 Les deux bilans'!B11</f>
        <v/>
      </c>
      <c r="C5" s="13">
        <f>B5/$B$8</f>
        <v/>
      </c>
      <c r="E5" s="2" t="inlineStr">
        <is>
          <t>L'effet revenu vaut TROIS FOIS la creation de valeur nette. La decompression du taux en reprend les deux tiers. Dire au comite que « l'essentiel provient de l'effet revenu » est vrai, et laisse de cote la moitie de l'information.</t>
        </is>
      </c>
    </row>
    <row r="6">
      <c r="A6" t="inlineStr">
        <is>
          <t>Effet taux : la variation du taux, sur le revenu final</t>
        </is>
      </c>
      <c r="B6" s="8">
        <f>'2 Les deux bilans'!C9/'2 Les deux bilans'!C11-'2 Les deux bilans'!C9/'2 Les deux bilans'!B11</f>
        <v/>
      </c>
      <c r="C6" s="13">
        <f>B6/$B$8</f>
        <v/>
      </c>
    </row>
    <row r="7">
      <c r="A7" t="inlineStr">
        <is>
          <t>Somme des deux</t>
        </is>
      </c>
      <c r="B7" s="10">
        <f>B5+B6</f>
        <v/>
      </c>
      <c r="C7" s="13">
        <f>B7/$B$8</f>
        <v/>
      </c>
    </row>
    <row r="8">
      <c r="A8" s="14" t="inlineStr">
        <is>
          <t>Creation de valeur reellement constatee</t>
        </is>
      </c>
      <c r="B8" s="15">
        <f>'2 Les deux bilans'!D10</f>
        <v/>
      </c>
    </row>
    <row r="9">
      <c r="A9" s="14" t="inlineStr">
        <is>
          <t>La decomposition boucle-t-elle ?</t>
        </is>
      </c>
      <c r="B9" s="16">
        <f>IF(ABS(B7-B8)&lt;1,"OUI","NON")</f>
        <v/>
      </c>
    </row>
    <row r="11">
      <c r="A11" t="inlineStr">
        <is>
          <t>Le revenu ajoute, capitalise au taux de SORTIE</t>
        </is>
      </c>
      <c r="B11" s="15">
        <f>'2 Les deux bilans'!D9/'2 Les deux bilans'!C11</f>
        <v/>
      </c>
      <c r="E11" s="2" t="inlineStr">
        <is>
          <t>A tout taux de capitalisation stabilise plausible, 470 000 EUR de revenu supplementaire valent bien plus que 3,9 millions. L'ecart n'est pas une erreur : il mesure ce que l'expertise d'entree anticipait deja. L'asset manager qui annonce « +3,9 millions » sous-estime son propre travail sur le revenu, et ne sait pas de combien.</t>
        </is>
      </c>
    </row>
    <row r="12">
      <c r="A12" t="inlineStr">
        <is>
          <t>Rapport a la creation de valeur constatee</t>
        </is>
      </c>
      <c r="B12" s="17">
        <f>B11/B8</f>
        <v/>
      </c>
    </row>
    <row r="13">
      <c r="A13" t="inlineStr">
        <is>
          <t>Le revenu ajoute, capitalise a 6 %</t>
        </is>
      </c>
      <c r="B13" s="15">
        <f>'2 Les deux bilans'!D9/0.06</f>
        <v/>
      </c>
    </row>
    <row r="14">
      <c r="A14" t="inlineStr">
        <is>
          <t>Le revenu ajoute, capitalise a 7 %</t>
        </is>
      </c>
      <c r="B14" s="15">
        <f>'2 Les deux bilans'!D9/0.07</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31"/>
  <sheetViews>
    <sheetView showGridLines="0" workbookViewId="0">
      <pane ySplit="4" topLeftCell="A5" activePane="bottomLeft" state="frozen"/>
      <selection pane="bottomLeft" activeCell="A1" sqref="A1"/>
    </sheetView>
  </sheetViews>
  <sheetFormatPr baseColWidth="8" defaultRowHeight="15"/>
  <cols>
    <col width="50" customWidth="1" min="1" max="1"/>
    <col width="20" customWidth="1" min="2" max="2"/>
    <col width="3" customWidth="1" min="3" max="3"/>
    <col width="62" customWidth="1" min="4" max="4"/>
  </cols>
  <sheetData>
    <row r="1">
      <c r="A1" s="1" t="inlineStr">
        <is>
          <t>La soustraction que le chapitre ne fait pas</t>
        </is>
      </c>
    </row>
    <row r="2">
      <c r="A2" s="2" t="inlineStr">
        <is>
          <t>« Deux virgule zero cinq millions d'euros ont ete investis, travaux et accompagnements locatifs compris. La valeur a progresse de trois virgule neuf millions et le revenu net annuel de quatre cent soixante-dix mille euros. » Les deux nombres sont dans la meme phrase. Ils ne sont jamais soustraits l'un de l'autre.</t>
        </is>
      </c>
    </row>
    <row r="5">
      <c r="A5" t="inlineStr">
        <is>
          <t>Creation de valeur brute</t>
        </is>
      </c>
      <c r="B5" s="15">
        <f>'2 Les deux bilans'!D10</f>
        <v/>
      </c>
    </row>
    <row r="6">
      <c r="A6" t="inlineStr">
        <is>
          <t>Investissement</t>
        </is>
      </c>
      <c r="B6" s="15">
        <f>'1 Le Cap Horizon'!$B$22</f>
        <v/>
      </c>
    </row>
    <row r="7">
      <c r="A7" t="inlineStr">
        <is>
          <t>Creation de valeur NETTE</t>
        </is>
      </c>
      <c r="B7" s="10">
        <f>B5-B6</f>
        <v/>
      </c>
      <c r="D7" s="2" t="inlineStr">
        <is>
          <t>Le titre du chapitre annonce trois virgule neuf millions. Ce qui revient au fonds, une fois le programme paye, est la moitie.</t>
        </is>
      </c>
    </row>
    <row r="8">
      <c r="A8" t="inlineStr">
        <is>
          <t>Part du brut qui reste apres l'investissement</t>
        </is>
      </c>
      <c r="B8" s="18">
        <f>B7/B5</f>
        <v/>
      </c>
    </row>
    <row r="9">
      <c r="A9" t="inlineStr">
        <is>
          <t>Multiple sur fonds investis</t>
        </is>
      </c>
      <c r="B9" s="17">
        <f>B5/B6</f>
        <v/>
      </c>
    </row>
    <row r="10">
      <c r="A10" t="inlineStr">
        <is>
          <t>Rendement sur cout : revenu ajoute / investissement</t>
        </is>
      </c>
      <c r="B10" s="19">
        <f>'2 Les deux bilans'!D9/'1 Le Cap Horizon'!$B$22</f>
        <v/>
      </c>
      <c r="D10" s="2" t="inlineStr">
        <is>
          <t>Vingt-trois pour cent de rendement sur le cout du programme. C'est le chiffre qu'un comite d'investissement demande en premier, et le seul que le chapitre ne produit pas — alors qu'il donne les deux termes de la division.</t>
        </is>
      </c>
    </row>
    <row r="11">
      <c r="A11" t="inlineStr">
        <is>
          <t>Rendement initial de l'actif sur son expertise</t>
        </is>
      </c>
      <c r="B11" s="20">
        <f>'2 Les deux bilans'!B11</f>
        <v/>
      </c>
    </row>
    <row r="12">
      <c r="A12" t="inlineStr">
        <is>
          <t>Rendement initial sur le prix d'acquisition</t>
        </is>
      </c>
      <c r="B12" s="20">
        <f>'2 Les deux bilans'!B9/'1 Le Cap Horizon'!$B$11</f>
        <v/>
      </c>
    </row>
    <row r="13">
      <c r="A13" t="inlineStr">
        <is>
          <t>Valeur a 24 mois rapportee au prix d'acquisition</t>
        </is>
      </c>
      <c r="B13" s="17">
        <f>'2 Les deux bilans'!C10/'1 Le Cap Horizon'!$B$11</f>
        <v/>
      </c>
    </row>
    <row r="16">
      <c r="A16" s="3" t="inlineStr">
        <is>
          <t>LA DECISION LA MOINS VALORISANTE EST LA PLUS RENTABLE</t>
        </is>
      </c>
      <c r="B16" s="4" t="n"/>
      <c r="C16" s="4" t="n"/>
      <c r="D16" s="4" t="n"/>
    </row>
    <row r="17">
      <c r="A17" t="inlineStr">
        <is>
          <t>Resultat recurrent de la gestion courante</t>
        </is>
      </c>
      <c r="B17" s="15">
        <f>'1 Le Cap Horizon'!$B$24</f>
        <v/>
      </c>
    </row>
    <row r="18">
      <c r="A18" t="inlineStr">
        <is>
          <t>Capitalise au taux de sortie</t>
        </is>
      </c>
      <c r="B18" s="15">
        <f>B17/'2 Les deux bilans'!C11</f>
        <v/>
      </c>
    </row>
    <row r="19">
      <c r="A19" t="inlineStr">
        <is>
          <t>Part de la creation de valeur totale</t>
        </is>
      </c>
      <c r="B19" s="19">
        <f>B18/B5</f>
        <v/>
      </c>
      <c r="D19" s="2" t="inlineStr">
        <is>
          <t>Le chapitre qualifie cette decision de « rien de valorisant ». Elle produit pres du tiers de la creation de valeur pour un capital nul — redditions rattrapees, impayes relances, contrats remis en concurrence. Les deux millions de travaux produisent le reste.</t>
        </is>
      </c>
    </row>
    <row r="20">
      <c r="A20" t="inlineStr">
        <is>
          <t>Capital engage pour l'obtenir</t>
        </is>
      </c>
      <c r="B20" s="15">
        <f>0</f>
        <v/>
      </c>
    </row>
    <row r="21">
      <c r="A21" t="inlineStr">
        <is>
          <t>Le reste de la creation de valeur</t>
        </is>
      </c>
      <c r="B21" s="15">
        <f>B5-B18</f>
        <v/>
      </c>
    </row>
    <row r="22">
      <c r="A22" t="inlineStr">
        <is>
          <t>Capital engage pour ce reste</t>
        </is>
      </c>
      <c r="B22" s="15">
        <f>'1 Le Cap Horizon'!$B$22</f>
        <v/>
      </c>
    </row>
    <row r="23">
      <c r="A23" t="inlineStr">
        <is>
          <t>Rendement sur cout de ce reste</t>
        </is>
      </c>
      <c r="B23" s="17">
        <f>(B21/B22)</f>
        <v/>
      </c>
    </row>
    <row r="25">
      <c r="A25" s="3" t="inlineStr">
        <is>
          <t>DEPUIS QUEL POINT MESURE-T-ON ?</t>
        </is>
      </c>
      <c r="B25" s="4" t="n"/>
      <c r="C25" s="4" t="n"/>
      <c r="D25" s="4" t="n"/>
    </row>
    <row r="26">
      <c r="A26" t="inlineStr">
        <is>
          <t>Prix d'acquisition, il y a quatre ans</t>
        </is>
      </c>
      <c r="B26" s="15">
        <f>'1 Le Cap Horizon'!$B$11</f>
        <v/>
      </c>
    </row>
    <row r="27">
      <c r="A27" t="inlineStr">
        <is>
          <t>Investi depuis</t>
        </is>
      </c>
      <c r="B27" s="15">
        <f>'1 Le Cap Horizon'!$B$22</f>
        <v/>
      </c>
    </row>
    <row r="28">
      <c r="A28" t="inlineStr">
        <is>
          <t>Total engage par le fonds</t>
        </is>
      </c>
      <c r="B28" s="15">
        <f>B26+B27</f>
        <v/>
      </c>
    </row>
    <row r="29">
      <c r="A29" t="inlineStr">
        <is>
          <t>Valeur a vingt-quatre mois</t>
        </is>
      </c>
      <c r="B29" s="15">
        <f>'2 Les deux bilans'!C10</f>
        <v/>
      </c>
    </row>
    <row r="30">
      <c r="A30" t="inlineStr">
        <is>
          <t>Ecart au total engage</t>
        </is>
      </c>
      <c r="B30" s="10">
        <f>B29-B28</f>
        <v/>
      </c>
      <c r="D30" s="2" t="inlineStr">
        <is>
          <t>⚠ Le chapitre mesure la creation de valeur depuis le POINT BAS — l'expertise de 11,2 millions, deja en recul de vingt pour cent. Mesuree depuis l'argent engage par le fonds, l'operation est encore en moins-value. Les deux lectures sont legitimes ; une seule est enoncee. Un comite entend « +3,9 millions » ; un investisseur, lui, compare a ce qu'il a mis.</t>
        </is>
      </c>
    </row>
    <row r="31">
      <c r="A31" t="inlineStr">
        <is>
          <t>Rapport</t>
        </is>
      </c>
      <c r="B31" s="21">
        <f>B29/B28</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T31"/>
  <sheetViews>
    <sheetView showGridLines="0" workbookViewId="0">
      <pane ySplit="4" topLeftCell="A5" activePane="bottomLeft" state="frozen"/>
      <selection pane="bottomLeft" activeCell="A1" sqref="A1"/>
    </sheetView>
  </sheetViews>
  <sheetFormatPr baseColWidth="8" defaultRowHeight="15"/>
  <cols>
    <col width="34" customWidth="1" min="1" max="1"/>
    <col width="18" customWidth="1" min="2" max="2"/>
    <col width="18" customWidth="1" min="3" max="3"/>
    <col width="18" customWidth="1" min="4" max="4"/>
    <col width="18" customWidth="1" min="5" max="5"/>
    <col width="3" customWidth="1" min="6" max="6"/>
    <col width="58" customWidth="1" min="7" max="7"/>
    <col hidden="1" width="13" customWidth="1" min="20" max="20"/>
  </cols>
  <sheetData>
    <row r="1">
      <c r="A1" s="1" t="inlineStr">
        <is>
          <t>Les trois scenarios, ramenes a la meme date</t>
        </is>
      </c>
    </row>
    <row r="2">
      <c r="A2" s="2" t="inlineStr">
        <is>
          <t>Le comite compare neuf virgule cinq millions DANS CINQ ANS, dix virgule deux millions IMMEDIATEMENT, et quinze virgule trois millions A TERME. Trois valeurs a trois dates differentes, mises cote a cote comme si c'etaient trois fois le meme nombre. Les ramener a aujourd'hui prend une ligne par scenario — et ajoute les loyers encaisses en chemin, que le comparatif oublie.</t>
        </is>
      </c>
    </row>
    <row r="4">
      <c r="A4" s="7" t="inlineStr">
        <is>
          <t>Scenario</t>
        </is>
      </c>
      <c r="B4" s="7" t="inlineStr">
        <is>
          <t>Valeur brute</t>
        </is>
      </c>
      <c r="C4" s="7" t="inlineStr">
        <is>
          <t>A quelle date</t>
        </is>
      </c>
      <c r="D4" s="7" t="inlineStr">
        <is>
          <t>Loyers nets encaisses</t>
        </is>
      </c>
      <c r="E4" s="7" t="inlineStr">
        <is>
          <t>Valeur actuelle</t>
        </is>
      </c>
    </row>
    <row r="5">
      <c r="A5" t="inlineStr">
        <is>
          <t>Statu quo</t>
        </is>
      </c>
      <c r="B5" s="8">
        <f>'1 Le Cap Horizon'!$B$33</f>
        <v/>
      </c>
      <c r="C5" s="22">
        <f>'1 Le Cap Horizon'!$B$34</f>
        <v/>
      </c>
      <c r="D5" s="8">
        <f>'2 Les deux bilans'!B9*(1-(1+'1 Le Cap Horizon'!$B$40)^-'1 Le Cap Horizon'!$B$34)/'1 Le Cap Horizon'!$B$40</f>
        <v/>
      </c>
      <c r="E5" s="15">
        <f>'1 Le Cap Horizon'!$B$33/(1+'1 Le Cap Horizon'!$B$40)^'1 Le Cap Horizon'!$B$34+D5</f>
        <v/>
      </c>
    </row>
    <row r="6">
      <c r="A6" t="inlineStr">
        <is>
          <t>Cession en l'etat</t>
        </is>
      </c>
      <c r="B6" s="8">
        <f>'1 Le Cap Horizon'!$B$35</f>
        <v/>
      </c>
      <c r="C6" s="22" t="inlineStr">
        <is>
          <t>0</t>
        </is>
      </c>
      <c r="D6" s="8">
        <f>0</f>
        <v/>
      </c>
      <c r="E6" s="15">
        <f>'1 Le Cap Horizon'!$B$35</f>
        <v/>
      </c>
    </row>
    <row r="7">
      <c r="A7" t="inlineStr">
        <is>
          <t>Repositionnement</t>
        </is>
      </c>
      <c r="B7" s="8">
        <f>'1 Le Cap Horizon'!$B$36</f>
        <v/>
      </c>
      <c r="C7" s="22">
        <f>'1 Le Cap Horizon'!$B$37</f>
        <v/>
      </c>
      <c r="D7" s="8">
        <f>('2 Les deux bilans'!B9/(1+'1 Le Cap Horizon'!$B$40)+('2 Les deux bilans'!B9+'2 Les deux bilans'!C9)/2/(1+'1 Le Cap Horizon'!$B$40)^2)</f>
        <v/>
      </c>
      <c r="E7" s="15">
        <f>'1 Le Cap Horizon'!$B$36/(1+'1 Le Cap Horizon'!$B$40)^'1 Le Cap Horizon'!$B$37-'1 Le Cap Horizon'!$B$22/2-'1 Le Cap Horizon'!$B$22/2/(1+'1 Le Cap Horizon'!$B$40)+D7</f>
        <v/>
      </c>
    </row>
    <row r="9">
      <c r="A9" s="14" t="inlineStr">
        <is>
          <t>Le meilleur, une fois actualise</t>
        </is>
      </c>
      <c r="B9" s="16">
        <f>INDEX(A5:A7,MATCH(MAX(E5:E7),E5:E7,0))</f>
        <v/>
      </c>
      <c r="G9" s="2" t="inlineStr">
        <is>
          <t>Le comite avait raison, et l'actualisation le confirme : le repositionnement l'emporte, la cession vient ensuite, le statu quo est le pire. Ce que le comparatif du livre ne dit pas, c'est de combien — et a partir de quelle exigence de rendement l'ordre s'inverse.</t>
        </is>
      </c>
    </row>
    <row r="10">
      <c r="A10" s="14" t="inlineStr">
        <is>
          <t>Avance sur la cession immediate</t>
        </is>
      </c>
      <c r="B10" s="15">
        <f>E7-E6</f>
        <v/>
      </c>
    </row>
    <row r="11">
      <c r="A11" s="14" t="inlineStr">
        <is>
          <t>Le classement du comite tient-il ?</t>
        </is>
      </c>
      <c r="B11" s="16">
        <f>IF(AND(E7&gt;E6,E6&gt;E5),"OUI","NON")</f>
        <v/>
      </c>
    </row>
    <row r="13">
      <c r="A13" s="3" t="inlineStr">
        <is>
          <t>A QUELLE EXIGENCE DE RENDEMENT LE REPOSITIONNEMENT CESSE-T-IL DE PAYER ?</t>
        </is>
      </c>
      <c r="B13" s="4" t="n"/>
      <c r="C13" s="4" t="n"/>
      <c r="D13" s="4" t="n"/>
      <c r="E13" s="4" t="n"/>
    </row>
    <row r="14">
      <c r="A14" s="7" t="inlineStr">
        <is>
          <t>Taux d'actualisation</t>
        </is>
      </c>
      <c r="B14" s="7" t="inlineStr">
        <is>
          <t>Statu quo</t>
        </is>
      </c>
      <c r="C14" s="7" t="inlineStr">
        <is>
          <t>Cession</t>
        </is>
      </c>
      <c r="D14" s="7" t="inlineStr">
        <is>
          <t>Repositionnement</t>
        </is>
      </c>
      <c r="E14" s="7" t="inlineStr">
        <is>
          <t>Le repositionnement l'emporte-t-il ?</t>
        </is>
      </c>
    </row>
    <row r="15">
      <c r="A15" s="23" t="n">
        <v>0.04</v>
      </c>
      <c r="B15" s="8">
        <f>'1 Le Cap Horizon'!$B$33/(1+$A$15)^'1 Le Cap Horizon'!$B$34+'2 Les deux bilans'!B9*(1-(1+$A$15)^-'1 Le Cap Horizon'!$B$34)/$A$15</f>
        <v/>
      </c>
      <c r="C15" s="8">
        <f>'1 Le Cap Horizon'!$B$35</f>
        <v/>
      </c>
      <c r="D15" s="8">
        <f>'1 Le Cap Horizon'!$B$36/(1+$A$15)^'1 Le Cap Horizon'!$B$37-'1 Le Cap Horizon'!$B$22/2-'1 Le Cap Horizon'!$B$22/2/(1+$A$15)+'2 Les deux bilans'!B9/(1+$A$15)+('2 Les deux bilans'!B9+'2 Les deux bilans'!C9)/2/(1+$A$15)^2</f>
        <v/>
      </c>
      <c r="E15">
        <f>IF(D15&gt;C15,"oui","non")</f>
        <v/>
      </c>
      <c r="T15">
        <f>IF(D15&lt;=C15,1,0)</f>
        <v/>
      </c>
    </row>
    <row r="16">
      <c r="A16" s="23" t="n">
        <v>0.06</v>
      </c>
      <c r="B16" s="8">
        <f>'1 Le Cap Horizon'!$B$33/(1+$A$16)^'1 Le Cap Horizon'!$B$34+'2 Les deux bilans'!B9*(1-(1+$A$16)^-'1 Le Cap Horizon'!$B$34)/$A$16</f>
        <v/>
      </c>
      <c r="C16" s="8">
        <f>'1 Le Cap Horizon'!$B$35</f>
        <v/>
      </c>
      <c r="D16" s="8">
        <f>'1 Le Cap Horizon'!$B$36/(1+$A$16)^'1 Le Cap Horizon'!$B$37-'1 Le Cap Horizon'!$B$22/2-'1 Le Cap Horizon'!$B$22/2/(1+$A$16)+'2 Les deux bilans'!B9/(1+$A$16)+('2 Les deux bilans'!B9+'2 Les deux bilans'!C9)/2/(1+$A$16)^2</f>
        <v/>
      </c>
      <c r="E16">
        <f>IF(D16&gt;C16,"oui","non")</f>
        <v/>
      </c>
      <c r="T16">
        <f>IF(D16&lt;=C16,1,0)</f>
        <v/>
      </c>
    </row>
    <row r="17">
      <c r="A17" s="23" t="n">
        <v>0.08</v>
      </c>
      <c r="B17" s="8">
        <f>'1 Le Cap Horizon'!$B$33/(1+$A$17)^'1 Le Cap Horizon'!$B$34+'2 Les deux bilans'!B9*(1-(1+$A$17)^-'1 Le Cap Horizon'!$B$34)/$A$17</f>
        <v/>
      </c>
      <c r="C17" s="8">
        <f>'1 Le Cap Horizon'!$B$35</f>
        <v/>
      </c>
      <c r="D17" s="8">
        <f>'1 Le Cap Horizon'!$B$36/(1+$A$17)^'1 Le Cap Horizon'!$B$37-'1 Le Cap Horizon'!$B$22/2-'1 Le Cap Horizon'!$B$22/2/(1+$A$17)+'2 Les deux bilans'!B9/(1+$A$17)+('2 Les deux bilans'!B9+'2 Les deux bilans'!C9)/2/(1+$A$17)^2</f>
        <v/>
      </c>
      <c r="E17">
        <f>IF(D17&gt;C17,"oui","non")</f>
        <v/>
      </c>
      <c r="T17">
        <f>IF(D17&lt;=C17,1,0)</f>
        <v/>
      </c>
    </row>
    <row r="18">
      <c r="A18" s="23" t="n">
        <v>0.1</v>
      </c>
      <c r="B18" s="8">
        <f>'1 Le Cap Horizon'!$B$33/(1+$A$18)^'1 Le Cap Horizon'!$B$34+'2 Les deux bilans'!B9*(1-(1+$A$18)^-'1 Le Cap Horizon'!$B$34)/$A$18</f>
        <v/>
      </c>
      <c r="C18" s="8">
        <f>'1 Le Cap Horizon'!$B$35</f>
        <v/>
      </c>
      <c r="D18" s="8">
        <f>'1 Le Cap Horizon'!$B$36/(1+$A$18)^'1 Le Cap Horizon'!$B$37-'1 Le Cap Horizon'!$B$22/2-'1 Le Cap Horizon'!$B$22/2/(1+$A$18)+'2 Les deux bilans'!B9/(1+$A$18)+('2 Les deux bilans'!B9+'2 Les deux bilans'!C9)/2/(1+$A$18)^2</f>
        <v/>
      </c>
      <c r="E18">
        <f>IF(D18&gt;C18,"oui","non")</f>
        <v/>
      </c>
      <c r="T18">
        <f>IF(D18&lt;=C18,1,0)</f>
        <v/>
      </c>
    </row>
    <row r="19">
      <c r="A19" s="23" t="n">
        <v>0.12</v>
      </c>
      <c r="B19" s="8">
        <f>'1 Le Cap Horizon'!$B$33/(1+$A$19)^'1 Le Cap Horizon'!$B$34+'2 Les deux bilans'!B9*(1-(1+$A$19)^-'1 Le Cap Horizon'!$B$34)/$A$19</f>
        <v/>
      </c>
      <c r="C19" s="8">
        <f>'1 Le Cap Horizon'!$B$35</f>
        <v/>
      </c>
      <c r="D19" s="8">
        <f>'1 Le Cap Horizon'!$B$36/(1+$A$19)^'1 Le Cap Horizon'!$B$37-'1 Le Cap Horizon'!$B$22/2-'1 Le Cap Horizon'!$B$22/2/(1+$A$19)+'2 Les deux bilans'!B9/(1+$A$19)+('2 Les deux bilans'!B9+'2 Les deux bilans'!C9)/2/(1+$A$19)^2</f>
        <v/>
      </c>
      <c r="E19">
        <f>IF(D19&gt;C19,"oui","non")</f>
        <v/>
      </c>
      <c r="T19">
        <f>IF(D19&lt;=C19,1,0)</f>
        <v/>
      </c>
    </row>
    <row r="20">
      <c r="A20" s="23" t="n">
        <v>0.14</v>
      </c>
      <c r="B20" s="8">
        <f>'1 Le Cap Horizon'!$B$33/(1+$A$20)^'1 Le Cap Horizon'!$B$34+'2 Les deux bilans'!B9*(1-(1+$A$20)^-'1 Le Cap Horizon'!$B$34)/$A$20</f>
        <v/>
      </c>
      <c r="C20" s="8">
        <f>'1 Le Cap Horizon'!$B$35</f>
        <v/>
      </c>
      <c r="D20" s="8">
        <f>'1 Le Cap Horizon'!$B$36/(1+$A$20)^'1 Le Cap Horizon'!$B$37-'1 Le Cap Horizon'!$B$22/2-'1 Le Cap Horizon'!$B$22/2/(1+$A$20)+'2 Les deux bilans'!B9/(1+$A$20)+('2 Les deux bilans'!B9+'2 Les deux bilans'!C9)/2/(1+$A$20)^2</f>
        <v/>
      </c>
      <c r="E20">
        <f>IF(D20&gt;C20,"oui","non")</f>
        <v/>
      </c>
      <c r="T20">
        <f>IF(D20&lt;=C20,1,0)</f>
        <v/>
      </c>
    </row>
    <row r="21">
      <c r="A21" s="23" t="n">
        <v>0.15</v>
      </c>
      <c r="B21" s="8">
        <f>'1 Le Cap Horizon'!$B$33/(1+$A$21)^'1 Le Cap Horizon'!$B$34+'2 Les deux bilans'!B9*(1-(1+$A$21)^-'1 Le Cap Horizon'!$B$34)/$A$21</f>
        <v/>
      </c>
      <c r="C21" s="8">
        <f>'1 Le Cap Horizon'!$B$35</f>
        <v/>
      </c>
      <c r="D21" s="8">
        <f>'1 Le Cap Horizon'!$B$36/(1+$A$21)^'1 Le Cap Horizon'!$B$37-'1 Le Cap Horizon'!$B$22/2-'1 Le Cap Horizon'!$B$22/2/(1+$A$21)+'2 Les deux bilans'!B9/(1+$A$21)+('2 Les deux bilans'!B9+'2 Les deux bilans'!C9)/2/(1+$A$21)^2</f>
        <v/>
      </c>
      <c r="E21">
        <f>IF(D21&gt;C21,"oui","non")</f>
        <v/>
      </c>
      <c r="T21">
        <f>IF(D21&lt;=C21,1,0)</f>
        <v/>
      </c>
    </row>
    <row r="22">
      <c r="A22" s="23" t="n">
        <v>0.16</v>
      </c>
      <c r="B22" s="8">
        <f>'1 Le Cap Horizon'!$B$33/(1+$A$22)^'1 Le Cap Horizon'!$B$34+'2 Les deux bilans'!B9*(1-(1+$A$22)^-'1 Le Cap Horizon'!$B$34)/$A$22</f>
        <v/>
      </c>
      <c r="C22" s="8">
        <f>'1 Le Cap Horizon'!$B$35</f>
        <v/>
      </c>
      <c r="D22" s="8">
        <f>'1 Le Cap Horizon'!$B$36/(1+$A$22)^'1 Le Cap Horizon'!$B$37-'1 Le Cap Horizon'!$B$22/2-'1 Le Cap Horizon'!$B$22/2/(1+$A$22)+'2 Les deux bilans'!B9/(1+$A$22)+('2 Les deux bilans'!B9+'2 Les deux bilans'!C9)/2/(1+$A$22)^2</f>
        <v/>
      </c>
      <c r="E22">
        <f>IF(D22&gt;C22,"oui","non")</f>
        <v/>
      </c>
      <c r="T22">
        <f>IF(D22&lt;=C22,1,0)</f>
        <v/>
      </c>
    </row>
    <row r="23">
      <c r="A23" s="23" t="n">
        <v>0.166</v>
      </c>
      <c r="B23" s="8">
        <f>'1 Le Cap Horizon'!$B$33/(1+$A$23)^'1 Le Cap Horizon'!$B$34+'2 Les deux bilans'!B9*(1-(1+$A$23)^-'1 Le Cap Horizon'!$B$34)/$A$23</f>
        <v/>
      </c>
      <c r="C23" s="8">
        <f>'1 Le Cap Horizon'!$B$35</f>
        <v/>
      </c>
      <c r="D23" s="8">
        <f>'1 Le Cap Horizon'!$B$36/(1+$A$23)^'1 Le Cap Horizon'!$B$37-'1 Le Cap Horizon'!$B$22/2-'1 Le Cap Horizon'!$B$22/2/(1+$A$23)+'2 Les deux bilans'!B9/(1+$A$23)+('2 Les deux bilans'!B9+'2 Les deux bilans'!C9)/2/(1+$A$23)^2</f>
        <v/>
      </c>
      <c r="E23">
        <f>IF(D23&gt;C23,"oui","non")</f>
        <v/>
      </c>
      <c r="T23">
        <f>IF(D23&lt;=C23,1,0)</f>
        <v/>
      </c>
    </row>
    <row r="24">
      <c r="A24" s="23" t="n">
        <v>0.1664</v>
      </c>
      <c r="B24" s="8">
        <f>'1 Le Cap Horizon'!$B$33/(1+$A$24)^'1 Le Cap Horizon'!$B$34+'2 Les deux bilans'!B9*(1-(1+$A$24)^-'1 Le Cap Horizon'!$B$34)/$A$24</f>
        <v/>
      </c>
      <c r="C24" s="8">
        <f>'1 Le Cap Horizon'!$B$35</f>
        <v/>
      </c>
      <c r="D24" s="8">
        <f>'1 Le Cap Horizon'!$B$36/(1+$A$24)^'1 Le Cap Horizon'!$B$37-'1 Le Cap Horizon'!$B$22/2-'1 Le Cap Horizon'!$B$22/2/(1+$A$24)+'2 Les deux bilans'!B9/(1+$A$24)+('2 Les deux bilans'!B9+'2 Les deux bilans'!C9)/2/(1+$A$24)^2</f>
        <v/>
      </c>
      <c r="E24">
        <f>IF(D24&gt;C24,"oui","non")</f>
        <v/>
      </c>
      <c r="T24">
        <f>IF(D24&lt;=C24,1,0)</f>
        <v/>
      </c>
    </row>
    <row r="25">
      <c r="A25" s="23" t="n">
        <v>0.17</v>
      </c>
      <c r="B25" s="8">
        <f>'1 Le Cap Horizon'!$B$33/(1+$A$25)^'1 Le Cap Horizon'!$B$34+'2 Les deux bilans'!B9*(1-(1+$A$25)^-'1 Le Cap Horizon'!$B$34)/$A$25</f>
        <v/>
      </c>
      <c r="C25" s="8">
        <f>'1 Le Cap Horizon'!$B$35</f>
        <v/>
      </c>
      <c r="D25" s="8">
        <f>'1 Le Cap Horizon'!$B$36/(1+$A$25)^'1 Le Cap Horizon'!$B$37-'1 Le Cap Horizon'!$B$22/2-'1 Le Cap Horizon'!$B$22/2/(1+$A$25)+'2 Les deux bilans'!B9/(1+$A$25)+('2 Les deux bilans'!B9+'2 Les deux bilans'!C9)/2/(1+$A$25)^2</f>
        <v/>
      </c>
      <c r="E25">
        <f>IF(D25&gt;C25,"oui","non")</f>
        <v/>
      </c>
      <c r="T25">
        <f>IF(D25&lt;=C25,1,0)</f>
        <v/>
      </c>
    </row>
    <row r="26">
      <c r="A26" s="23" t="n">
        <v>0.18</v>
      </c>
      <c r="B26" s="8">
        <f>'1 Le Cap Horizon'!$B$33/(1+$A$26)^'1 Le Cap Horizon'!$B$34+'2 Les deux bilans'!B9*(1-(1+$A$26)^-'1 Le Cap Horizon'!$B$34)/$A$26</f>
        <v/>
      </c>
      <c r="C26" s="8">
        <f>'1 Le Cap Horizon'!$B$35</f>
        <v/>
      </c>
      <c r="D26" s="8">
        <f>'1 Le Cap Horizon'!$B$36/(1+$A$26)^'1 Le Cap Horizon'!$B$37-'1 Le Cap Horizon'!$B$22/2-'1 Le Cap Horizon'!$B$22/2/(1+$A$26)+'2 Les deux bilans'!B9/(1+$A$26)+('2 Les deux bilans'!B9+'2 Les deux bilans'!C9)/2/(1+$A$26)^2</f>
        <v/>
      </c>
      <c r="E26">
        <f>IF(D26&gt;C26,"oui","non")</f>
        <v/>
      </c>
      <c r="T26">
        <f>IF(D26&lt;=C26,1,0)</f>
        <v/>
      </c>
    </row>
    <row r="27">
      <c r="A27" s="23" t="n">
        <v>0.2</v>
      </c>
      <c r="B27" s="8">
        <f>'1 Le Cap Horizon'!$B$33/(1+$A$27)^'1 Le Cap Horizon'!$B$34+'2 Les deux bilans'!B9*(1-(1+$A$27)^-'1 Le Cap Horizon'!$B$34)/$A$27</f>
        <v/>
      </c>
      <c r="C27" s="8">
        <f>'1 Le Cap Horizon'!$B$35</f>
        <v/>
      </c>
      <c r="D27" s="8">
        <f>'1 Le Cap Horizon'!$B$36/(1+$A$27)^'1 Le Cap Horizon'!$B$37-'1 Le Cap Horizon'!$B$22/2-'1 Le Cap Horizon'!$B$22/2/(1+$A$27)+'2 Les deux bilans'!B9/(1+$A$27)+('2 Les deux bilans'!B9+'2 Les deux bilans'!C9)/2/(1+$A$27)^2</f>
        <v/>
      </c>
      <c r="E27">
        <f>IF(D27&gt;C27,"oui","non")</f>
        <v/>
      </c>
      <c r="T27">
        <f>IF(D27&lt;=C27,1,0)</f>
        <v/>
      </c>
    </row>
    <row r="28">
      <c r="A28" s="23" t="n">
        <v>0.25</v>
      </c>
      <c r="B28" s="8">
        <f>'1 Le Cap Horizon'!$B$33/(1+$A$28)^'1 Le Cap Horizon'!$B$34+'2 Les deux bilans'!B9*(1-(1+$A$28)^-'1 Le Cap Horizon'!$B$34)/$A$28</f>
        <v/>
      </c>
      <c r="C28" s="8">
        <f>'1 Le Cap Horizon'!$B$35</f>
        <v/>
      </c>
      <c r="D28" s="8">
        <f>'1 Le Cap Horizon'!$B$36/(1+$A$28)^'1 Le Cap Horizon'!$B$37-'1 Le Cap Horizon'!$B$22/2-'1 Le Cap Horizon'!$B$22/2/(1+$A$28)+'2 Les deux bilans'!B9/(1+$A$28)+('2 Les deux bilans'!B9+'2 Les deux bilans'!C9)/2/(1+$A$28)^2</f>
        <v/>
      </c>
      <c r="E28">
        <f>IF(D28&gt;C28,"oui","non")</f>
        <v/>
      </c>
      <c r="T28">
        <f>IF(D28&lt;=C28,1,0)</f>
        <v/>
      </c>
    </row>
    <row r="30">
      <c r="A30" s="14" t="inlineStr">
        <is>
          <t>Taux au-dela duquel la cession immediate l'emporte</t>
        </is>
      </c>
      <c r="B30" s="12">
        <f>INDEX(A15:A28,MATCH(1,T15:T28,0))</f>
        <v/>
      </c>
    </row>
    <row r="31">
      <c r="G31" s="2" t="inlineStr">
        <is>
          <t>La decision du comite est donc robuste jusqu'a une exigence de rendement tres elevee. C'est une information que le comparatif brut ne pouvait pas donner, et c'est celle qui aurait le mieux repondu a un administrateur prudent.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27"/>
  <sheetViews>
    <sheetView showGridLines="0" workbookViewId="0">
      <pane ySplit="4" topLeftCell="A5" activePane="bottomLeft" state="frozen"/>
      <selection pane="bottomLeft" activeCell="A1" sqref="A1"/>
    </sheetView>
  </sheetViews>
  <sheetFormatPr baseColWidth="8" defaultRowHeight="15"/>
  <cols>
    <col width="52" customWidth="1" min="1" max="1"/>
    <col width="18" customWidth="1" min="2" max="2"/>
    <col width="3" customWidth="1" min="3" max="3"/>
    <col width="60" customWidth="1" min="4" max="4"/>
  </cols>
  <sheetData>
    <row r="1">
      <c r="A1" s="1" t="inlineStr">
        <is>
          <t>Les surfaces : trois chiffres qui ne peuvent pas tous tenir</t>
        </is>
      </c>
    </row>
    <row r="2">
      <c r="A2" s="2" t="inlineStr">
        <is>
          <t>Le cas est juste sur l'argent — le revenu net et la valeur tombent exactement sur les chiffres imprimes. Il est plus lache sur les surfaces. Trois donnees du recit — 94 % d'occupation, 1,09 million de loyers, et des lots signes a 240 et 252 euros — ne peuvent pas etre vraies ensemble. Deux d'entre elles determinent la troisieme.</t>
        </is>
      </c>
    </row>
    <row r="5">
      <c r="A5" t="inlineStr">
        <is>
          <t>Surface du principal, au loyer moyen d'entree</t>
        </is>
      </c>
      <c r="B5" s="15">
        <f>'1 Le Cap Horizon'!$B$7*'1 Le Cap Horizon'!$B$14/('2 Les deux bilans'!B7)</f>
        <v/>
      </c>
    </row>
    <row r="6">
      <c r="A6" t="inlineStr">
        <is>
          <t>Sa surface apres reduction de 30 %</t>
        </is>
      </c>
      <c r="B6" s="15">
        <f>B5*(1-'1 Le Cap Horizon'!$B$30)</f>
        <v/>
      </c>
    </row>
    <row r="7">
      <c r="A7" t="inlineStr">
        <is>
          <t>Son loyer apres reduction, loyer facial maintenu</t>
        </is>
      </c>
      <c r="B7" s="15">
        <f>'1 Le Cap Horizon'!$B$7*'1 Le Cap Horizon'!$B$14*(1-'1 Le Cap Horizon'!$B$30)</f>
        <v/>
      </c>
    </row>
    <row r="8">
      <c r="A8" t="inlineStr">
        <is>
          <t>Surface des autres preneurs, inchangee</t>
        </is>
      </c>
      <c r="B8" s="15">
        <f>'2 Les deux bilans'!B5-B5</f>
        <v/>
      </c>
    </row>
    <row r="9">
      <c r="A9" t="inlineStr">
        <is>
          <t>Leur loyer, inchange</t>
        </is>
      </c>
      <c r="B9" s="15">
        <f>'1 Le Cap Horizon'!$B$7*(1-'1 Le Cap Horizon'!$B$14)</f>
        <v/>
      </c>
    </row>
    <row r="10">
      <c r="A10" t="inlineStr">
        <is>
          <t>Surface relouee necessaire pour atteindre 94 %</t>
        </is>
      </c>
      <c r="B10" s="15">
        <f>'2 Les deux bilans'!C5-B6-B8</f>
        <v/>
      </c>
    </row>
    <row r="11">
      <c r="A11" t="inlineStr">
        <is>
          <t>Loyer que ces surfaces doivent porter</t>
        </is>
      </c>
      <c r="B11" s="15">
        <f>'1 Le Cap Horizon'!$B$19-B7-B9</f>
        <v/>
      </c>
    </row>
    <row r="12">
      <c r="A12" t="inlineStr">
        <is>
          <t>Loyer implicite de ces surfaces, EUR/m2</t>
        </is>
      </c>
      <c r="B12" s="24">
        <f>B11/B10</f>
        <v/>
      </c>
      <c r="D12" s="2" t="inlineStr">
        <is>
          <t>Pour que 1,09 million de loyers et 94 % d'occupation tiennent ensemble, les surfaces relouees doivent porter ce loyer-la. Le chapitre les signe soixante euros plus haut.</t>
        </is>
      </c>
    </row>
    <row r="13">
      <c r="A13" t="inlineStr">
        <is>
          <t>Loyer des lots effectivement signes, EUR/m2</t>
        </is>
      </c>
      <c r="B13" s="25">
        <f>('1 Le Cap Horizon'!$B$25+'1 Le Cap Horizon'!$B$26)/2</f>
        <v/>
      </c>
    </row>
    <row r="14">
      <c r="A14" t="inlineStr">
        <is>
          <t>Ecart</t>
        </is>
      </c>
      <c r="B14" s="24">
        <f>B12-B13</f>
        <v/>
      </c>
    </row>
    <row r="16">
      <c r="A16" s="3" t="inlineStr">
        <is>
          <t>L'AUTRE LECTURE : ET SI LES LOTS SONT BIEN A 240-252 ?</t>
        </is>
      </c>
      <c r="B16" s="4" t="n"/>
      <c r="C16" s="4" t="n"/>
      <c r="D16" s="4" t="n"/>
    </row>
    <row r="17">
      <c r="A17" t="inlineStr">
        <is>
          <t>Surfaces decrites comme relouees : trois lots + le plateau libere</t>
        </is>
      </c>
      <c r="B17" s="15">
        <f>'1 Le Cap Horizon'!$B$41*'1 Le Cap Horizon'!$B$28+'1 Le Cap Horizon'!$B$29</f>
        <v/>
      </c>
    </row>
    <row r="18">
      <c r="A18" t="inlineStr">
        <is>
          <t>Leur loyer, aux prix signes</t>
        </is>
      </c>
      <c r="B18" s="15">
        <f>('1 Le Cap Horizon'!$B$41*'1 Le Cap Horizon'!$B$28*('1 Le Cap Horizon'!$B$25+'1 Le Cap Horizon'!$B$26)/2+'1 Le Cap Horizon'!$B$29*'1 Le Cap Horizon'!$B$25)</f>
        <v/>
      </c>
    </row>
    <row r="19">
      <c r="A19" t="inlineStr">
        <is>
          <t>Surface restante de l'immeuble occupe</t>
        </is>
      </c>
      <c r="B19" s="15">
        <f>'2 Les deux bilans'!C5-B17</f>
        <v/>
      </c>
    </row>
    <row r="20">
      <c r="A20" t="inlineStr">
        <is>
          <t>Loyer que cette surface doit porter</t>
        </is>
      </c>
      <c r="B20" s="15">
        <f>'1 Le Cap Horizon'!$B$19-B18</f>
        <v/>
      </c>
    </row>
    <row r="21">
      <c r="A21" t="inlineStr">
        <is>
          <t>Son loyer au metre carre</t>
        </is>
      </c>
      <c r="B21" s="25">
        <f>B20/B19</f>
        <v/>
      </c>
    </row>
    <row r="22">
      <c r="A22" t="inlineStr">
        <is>
          <t>Loyer moyen au depart</t>
        </is>
      </c>
      <c r="B22" s="25">
        <f>'2 Les deux bilans'!B7</f>
        <v/>
      </c>
    </row>
    <row r="23">
      <c r="A23" t="inlineStr">
        <is>
          <t>Variation</t>
        </is>
      </c>
      <c r="B23" s="19">
        <f>B21/B22-1</f>
        <v/>
      </c>
      <c r="D23" s="2" t="inlineStr">
        <is>
          <t>Si les lots sont bien signes aux prix annonces, le reste de l'immeuble doit avoir perdu quinze pour cent de loyer en deux ans — ce que le recit ne decrit nulle part, et qui contredirait le redressement.</t>
        </is>
      </c>
    </row>
    <row r="24">
      <c r="A24" t="inlineStr">
        <is>
          <t>Surface manquante pour atteindre 94 %</t>
        </is>
      </c>
      <c r="B24" s="10">
        <f>B10-B17</f>
        <v/>
      </c>
      <c r="D24" s="2" t="inlineStr">
        <is>
          <t>Et il manque encore cette surface pour atteindre les 94 % annonces : le recit ne raconte la relocation que d'un peu plus de mille huit cents metres carres.</t>
        </is>
      </c>
    </row>
    <row r="26">
      <c r="A26" s="14" t="inlineStr">
        <is>
          <t>Ce que cela veut dire</t>
        </is>
      </c>
    </row>
    <row r="27">
      <c r="A27" s="2" t="inlineStr">
        <is>
          <t>Le cas reconcilie parfaitement sur l'argent et pas sur les surfaces. Dans un actif reel, c'est l'inverse qui est dangereux : les surfaces sont mesurees, auditees et opposables, et un ecart de cinq cents metres carres se voit. Le premier reflexe d'un asset manager qui reprend un dossier devrait etre celui-la : verifier que le tableau des surfaces, le tableau des loyers et le taux d'occupation se deduisent l'un de l'autre. Ce controle prend dix minutes et il n'est presque jamais fait.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45"/>
  <sheetViews>
    <sheetView showGridLines="0" workbookViewId="0">
      <pane ySplit="4" topLeftCell="A5" activePane="bottomLeft" state="frozen"/>
      <selection pane="bottomLeft" activeCell="A1" sqref="A1"/>
    </sheetView>
  </sheetViews>
  <sheetFormatPr baseColWidth="8" defaultRowHeight="15"/>
  <cols>
    <col width="6" customWidth="1" min="1" max="1"/>
    <col width="78" customWidth="1" min="2" max="2"/>
    <col width="18" customWidth="1" min="3" max="3"/>
    <col width="18" customWidth="1" min="4" max="4"/>
    <col width="12" customWidth="1" min="5" max="5"/>
  </cols>
  <sheetData>
    <row r="1">
      <c r="A1" s="1" t="inlineStr">
        <is>
          <t>Controles</t>
        </is>
      </c>
    </row>
    <row r="2">
      <c r="A2" s="2" t="inlineStr">
        <is>
          <t>Chaque ligne verifie soit un chiffre imprime dans le chapitre 16, soit une identite qui doit tenir. Les dix premieres reproduisent le livre avant que quoi que ce soit ne soit mis en question.</t>
        </is>
      </c>
    </row>
    <row r="4">
      <c r="A4" s="7" t="inlineStr">
        <is>
          <t>N°</t>
        </is>
      </c>
      <c r="B4" s="7" t="inlineStr">
        <is>
          <t>Ce qui est verifie</t>
        </is>
      </c>
      <c r="C4" s="7" t="inlineStr">
        <is>
          <t>Attendu</t>
        </is>
      </c>
      <c r="D4" s="7" t="inlineStr">
        <is>
          <t>Obtenu</t>
        </is>
      </c>
      <c r="E4" s="7" t="inlineStr">
        <is>
          <t>Resultat</t>
        </is>
      </c>
    </row>
    <row r="5">
      <c r="A5" t="n">
        <v>1</v>
      </c>
      <c r="B5" t="inlineStr">
        <is>
          <t>Surfaces louees a la reprise : 63 % de 6 200 m2</t>
        </is>
      </c>
      <c r="C5">
        <f>6200*0.63</f>
        <v/>
      </c>
      <c r="D5">
        <f>'2 Les deux bilans'!B5</f>
        <v/>
      </c>
      <c r="E5" s="14">
        <f>IF(ABS(D5-C5)&lt;1e-09,"PASS","ERREUR")</f>
        <v/>
      </c>
    </row>
    <row r="6">
      <c r="A6" t="n">
        <v>2</v>
      </c>
      <c r="B6" t="inlineStr">
        <is>
          <t>Loyer moyen facial a la reprise : le livre imprime 189 EUR/m2</t>
        </is>
      </c>
      <c r="C6">
        <f>189</f>
        <v/>
      </c>
      <c r="D6">
        <f>'2 Les deux bilans'!B7</f>
        <v/>
      </c>
      <c r="E6" s="14">
        <f>IF(ABS(D6-C6)&lt;0.5,"PASS","ERREUR")</f>
        <v/>
      </c>
    </row>
    <row r="7">
      <c r="A7" t="n">
        <v>3</v>
      </c>
      <c r="B7" t="inlineStr">
        <is>
          <t>Vacance a la reprise : 6 200 moins les surfaces louees, le livre imprime 2 300</t>
        </is>
      </c>
      <c r="C7">
        <f>2300</f>
        <v/>
      </c>
      <c r="D7">
        <f>'1 Le Cap Horizon'!$B$5-'2 Les deux bilans'!B5</f>
        <v/>
      </c>
      <c r="E7" s="14">
        <f>IF(ABS(D7-C7)&lt;10,"PASS","ERREUR")</f>
        <v/>
      </c>
    </row>
    <row r="8">
      <c r="A8" t="n">
        <v>4</v>
      </c>
      <c r="B8" t="inlineStr">
        <is>
          <t>Revenu net a la reprise : 740 000 - 310 000</t>
        </is>
      </c>
      <c r="C8">
        <f>430000</f>
        <v/>
      </c>
      <c r="D8">
        <f>'2 Les deux bilans'!B9</f>
        <v/>
      </c>
      <c r="E8" s="14">
        <f>IF(ABS(D8-C8)&lt;1e-09,"PASS","ERREUR")</f>
        <v/>
      </c>
    </row>
    <row r="9">
      <c r="A9" t="n">
        <v>5</v>
      </c>
      <c r="B9" t="inlineStr">
        <is>
          <t>Revenu net a vingt-quatre mois : 1 090 000 - 190 000</t>
        </is>
      </c>
      <c r="C9">
        <f>900000</f>
        <v/>
      </c>
      <c r="D9">
        <f>'2 Les deux bilans'!C9</f>
        <v/>
      </c>
      <c r="E9" s="14">
        <f>IF(ABS(D9-C9)&lt;1e-09,"PASS","ERREUR")</f>
        <v/>
      </c>
    </row>
    <row r="10">
      <c r="A10" t="n">
        <v>6</v>
      </c>
      <c r="B10" t="inlineStr">
        <is>
          <t>Progression du revenu net : le livre imprime 470 000</t>
        </is>
      </c>
      <c r="C10">
        <f>470000</f>
        <v/>
      </c>
      <c r="D10">
        <f>'2 Les deux bilans'!D9</f>
        <v/>
      </c>
      <c r="E10" s="14">
        <f>IF(ABS(D10-C10)&lt;1e-09,"PASS","ERREUR")</f>
        <v/>
      </c>
    </row>
    <row r="11">
      <c r="A11" t="n">
        <v>7</v>
      </c>
      <c r="B11" t="inlineStr">
        <is>
          <t>Progression de la valeur : le livre imprime 3,9 millions</t>
        </is>
      </c>
      <c r="C11">
        <f>3900000</f>
        <v/>
      </c>
      <c r="D11">
        <f>'2 Les deux bilans'!D10</f>
        <v/>
      </c>
      <c r="E11" s="14">
        <f>IF(ABS(D11-C11)&lt;1e-09,"PASS","ERREUR")</f>
        <v/>
      </c>
    </row>
    <row r="12">
      <c r="A12" t="n">
        <v>8</v>
      </c>
      <c r="B12" t="inlineStr">
        <is>
          <t>Expertise d'entree en recul de 20 % sur trois ans, depuis 14 millions</t>
        </is>
      </c>
      <c r="C12">
        <f>14000000*0.8</f>
        <v/>
      </c>
      <c r="D12">
        <f>'1 Le Cap Horizon'!$B$10</f>
        <v/>
      </c>
      <c r="E12" s="14">
        <f>IF(ABS(D12-C12)&lt;1e-09,"PASS","ERREUR")</f>
        <v/>
      </c>
    </row>
    <row r="13">
      <c r="A13" t="n">
        <v>9</v>
      </c>
      <c r="B13" t="inlineStr">
        <is>
          <t>Le taux implicite MONTE entre les deux dates</t>
        </is>
      </c>
      <c r="C13">
        <f>"OUI"</f>
        <v/>
      </c>
      <c r="D13">
        <f>IF('2 Les deux bilans'!C11&gt;'2 Les deux bilans'!B11,"OUI","NON")</f>
        <v/>
      </c>
      <c r="E13" s="14">
        <f>IF(EXACT(C13,D13),"PASS","ERREUR")</f>
        <v/>
      </c>
    </row>
    <row r="14">
      <c r="A14" t="n">
        <v>10</v>
      </c>
      <c r="B14" t="inlineStr">
        <is>
          <t>Le loyer moyen facial BAISSE entre les deux dates</t>
        </is>
      </c>
      <c r="C14">
        <f>"OUI"</f>
        <v/>
      </c>
      <c r="D14">
        <f>IF('2 Les deux bilans'!C7&lt;'2 Les deux bilans'!B7,"OUI","NON")</f>
        <v/>
      </c>
      <c r="E14" s="14">
        <f>IF(EXACT(C14,D14),"PASS","ERREUR")</f>
        <v/>
      </c>
    </row>
    <row r="15">
      <c r="A15" t="n">
        <v>11</v>
      </c>
      <c r="B15" t="inlineStr">
        <is>
          <t>Decomposition : effet revenu + effet taux = creation de valeur constatee</t>
        </is>
      </c>
      <c r="C15">
        <f>'2 Les deux bilans'!D10</f>
        <v/>
      </c>
      <c r="D15">
        <f>'3 La decomposition'!B7</f>
        <v/>
      </c>
      <c r="E15" s="14">
        <f>IF(ABS(D15-C15)&lt;1.0,"PASS","ERREUR")</f>
        <v/>
      </c>
    </row>
    <row r="16">
      <c r="A16" t="n">
        <v>12</v>
      </c>
      <c r="B16" t="inlineStr">
        <is>
          <t>Decomposition : la feuille le confirme elle-meme</t>
        </is>
      </c>
      <c r="C16">
        <f>"OUI"</f>
        <v/>
      </c>
      <c r="D16">
        <f>'3 La decomposition'!B9</f>
        <v/>
      </c>
      <c r="E16" s="14">
        <f>IF(EXACT(C16,D16),"PASS","ERREUR")</f>
        <v/>
      </c>
    </row>
    <row r="17">
      <c r="A17" t="n">
        <v>13</v>
      </c>
      <c r="B17" t="inlineStr">
        <is>
          <t>L'effet revenu depasse le triple de la creation nette</t>
        </is>
      </c>
      <c r="C17">
        <f>"OUI"</f>
        <v/>
      </c>
      <c r="D17">
        <f>IF('3 La decomposition'!B5&gt;3*'2 Les deux bilans'!D10,"OUI","NON")</f>
        <v/>
      </c>
      <c r="E17" s="14">
        <f>IF(EXACT(C17,D17),"PASS","ERREUR")</f>
        <v/>
      </c>
    </row>
    <row r="18">
      <c r="A18" t="n">
        <v>14</v>
      </c>
      <c r="B18" t="inlineStr">
        <is>
          <t>L'effet taux est negatif</t>
        </is>
      </c>
      <c r="C18">
        <f>"OUI"</f>
        <v/>
      </c>
      <c r="D18">
        <f>IF('3 La decomposition'!B6&lt;0,"OUI","NON")</f>
        <v/>
      </c>
      <c r="E18" s="14">
        <f>IF(EXACT(C18,D18),"PASS","ERREUR")</f>
        <v/>
      </c>
    </row>
    <row r="19">
      <c r="A19" t="n">
        <v>15</v>
      </c>
      <c r="B19" t="inlineStr">
        <is>
          <t>Le revenu ajoute capitalise au taux de sortie depasse la valeur creee</t>
        </is>
      </c>
      <c r="C19">
        <f>"OUI"</f>
        <v/>
      </c>
      <c r="D19">
        <f>IF('3 La decomposition'!B11&gt;'2 Les deux bilans'!D10,"OUI","NON")</f>
        <v/>
      </c>
      <c r="E19" s="14">
        <f>IF(EXACT(C19,D19),"PASS","ERREUR")</f>
        <v/>
      </c>
    </row>
    <row r="20">
      <c r="A20" t="n">
        <v>16</v>
      </c>
      <c r="B20" t="inlineStr">
        <is>
          <t>Creation de valeur nette : 3,9 millions moins 2,05</t>
        </is>
      </c>
      <c r="C20">
        <f>3900000-2050000</f>
        <v/>
      </c>
      <c r="D20">
        <f>'4 La soustraction'!B7</f>
        <v/>
      </c>
      <c r="E20" s="14">
        <f>IF(ABS(D20-C20)&lt;1e-09,"PASS","ERREUR")</f>
        <v/>
      </c>
    </row>
    <row r="21">
      <c r="A21" t="n">
        <v>17</v>
      </c>
      <c r="B21" t="inlineStr">
        <is>
          <t>Ce qui reste apres l'investissement est inferieur a la moitie du brut</t>
        </is>
      </c>
      <c r="C21">
        <f>"OUI"</f>
        <v/>
      </c>
      <c r="D21">
        <f>IF('4 La soustraction'!B8&lt;0.5,"OUI","NON")</f>
        <v/>
      </c>
      <c r="E21" s="14">
        <f>IF(EXACT(C21,D21),"PASS","ERREUR")</f>
        <v/>
      </c>
    </row>
    <row r="22">
      <c r="A22" t="n">
        <v>18</v>
      </c>
      <c r="B22" t="inlineStr">
        <is>
          <t>Multiple sur fonds investis</t>
        </is>
      </c>
      <c r="C22">
        <f>3900000/2050000</f>
        <v/>
      </c>
      <c r="D22">
        <f>'4 La soustraction'!B9</f>
        <v/>
      </c>
      <c r="E22" s="14">
        <f>IF(ABS(D22-C22)&lt;1e-09,"PASS","ERREUR")</f>
        <v/>
      </c>
    </row>
    <row r="23">
      <c r="A23" t="n">
        <v>19</v>
      </c>
      <c r="B23" t="inlineStr">
        <is>
          <t>Rendement sur cout : 470 000 / 2 050 000</t>
        </is>
      </c>
      <c r="C23">
        <f>470000/2050000</f>
        <v/>
      </c>
      <c r="D23">
        <f>'4 La soustraction'!B10</f>
        <v/>
      </c>
      <c r="E23" s="14">
        <f>IF(ABS(D23-C23)&lt;1e-09,"PASS","ERREUR")</f>
        <v/>
      </c>
    </row>
    <row r="24">
      <c r="A24" t="n">
        <v>20</v>
      </c>
      <c r="B24" t="inlineStr">
        <is>
          <t>Le rendement sur cout depasse vingt pour cent</t>
        </is>
      </c>
      <c r="C24">
        <f>"OUI"</f>
        <v/>
      </c>
      <c r="D24">
        <f>IF('4 La soustraction'!B10&gt;0.20,"OUI","NON")</f>
        <v/>
      </c>
      <c r="E24" s="14">
        <f>IF(EXACT(C24,D24),"PASS","ERREUR")</f>
        <v/>
      </c>
    </row>
    <row r="25">
      <c r="A25" t="n">
        <v>21</v>
      </c>
      <c r="B25" t="inlineStr">
        <is>
          <t>La gestion courante capitalisee : 70 000 au taux de sortie</t>
        </is>
      </c>
      <c r="C25">
        <f>70000/'2 Les deux bilans'!C11</f>
        <v/>
      </c>
      <c r="D25">
        <f>'4 La soustraction'!B18</f>
        <v/>
      </c>
      <c r="E25" s="14">
        <f>IF(ABS(D25-C25)&lt;1e-06,"PASS","ERREUR")</f>
        <v/>
      </c>
    </row>
    <row r="26">
      <c r="A26" t="n">
        <v>22</v>
      </c>
      <c r="B26" t="inlineStr">
        <is>
          <t>Elle represente plus du quart de la creation de valeur</t>
        </is>
      </c>
      <c r="C26">
        <f>"OUI"</f>
        <v/>
      </c>
      <c r="D26">
        <f>IF('4 La soustraction'!B19&gt;0.25,"OUI","NON")</f>
        <v/>
      </c>
      <c r="E26" s="14">
        <f>IF(EXACT(C26,D26),"PASS","ERREUR")</f>
        <v/>
      </c>
    </row>
    <row r="27">
      <c r="A27" t="n">
        <v>23</v>
      </c>
      <c r="B27" t="inlineStr">
        <is>
          <t>Elle a ete obtenue sans capital</t>
        </is>
      </c>
      <c r="C27">
        <f>0</f>
        <v/>
      </c>
      <c r="D27">
        <f>'4 La soustraction'!B20</f>
        <v/>
      </c>
      <c r="E27" s="14">
        <f>IF(ABS(D27-C27)&lt;1e-12,"PASS","ERREUR")</f>
        <v/>
      </c>
    </row>
    <row r="28">
      <c r="A28" t="n">
        <v>24</v>
      </c>
      <c r="B28" t="inlineStr">
        <is>
          <t>Scenarios : la cession en l'etat n'est pas actualisee</t>
        </is>
      </c>
      <c r="C28">
        <f>'1 Le Cap Horizon'!$B$35</f>
        <v/>
      </c>
      <c r="D28">
        <f>'5 Les trois scenarios'!E6</f>
        <v/>
      </c>
      <c r="E28" s="14">
        <f>IF(ABS(D28-C28)&lt;1e-09,"PASS","ERREUR")</f>
        <v/>
      </c>
    </row>
    <row r="29">
      <c r="A29" t="n">
        <v>25</v>
      </c>
      <c r="B29" t="inlineStr">
        <is>
          <t>Scenarios : le repositionnement l'emporte au taux du fonds</t>
        </is>
      </c>
      <c r="C29">
        <f>"OUI"</f>
        <v/>
      </c>
      <c r="D29">
        <f>IF('5 Les trois scenarios'!E7&gt;'5 Les trois scenarios'!E6,"OUI","NON")</f>
        <v/>
      </c>
      <c r="E29" s="14">
        <f>IF(EXACT(C29,D29),"PASS","ERREUR")</f>
        <v/>
      </c>
    </row>
    <row r="30">
      <c r="A30" t="n">
        <v>26</v>
      </c>
      <c r="B30" t="inlineStr">
        <is>
          <t>Scenarios : le statu quo est le pire des trois</t>
        </is>
      </c>
      <c r="C30">
        <f>"OUI"</f>
        <v/>
      </c>
      <c r="D30">
        <f>IF('5 Les trois scenarios'!E5&lt;'5 Les trois scenarios'!E6,"OUI","NON")</f>
        <v/>
      </c>
      <c r="E30" s="14">
        <f>IF(EXACT(C30,D30),"PASS","ERREUR")</f>
        <v/>
      </c>
    </row>
    <row r="31">
      <c r="A31" t="n">
        <v>27</v>
      </c>
      <c r="B31" t="inlineStr">
        <is>
          <t>Scenarios : le classement du comite tient</t>
        </is>
      </c>
      <c r="C31">
        <f>"OUI"</f>
        <v/>
      </c>
      <c r="D31">
        <f>'5 Les trois scenarios'!B11</f>
        <v/>
      </c>
      <c r="E31" s="14">
        <f>IF(EXACT(C31,D31),"PASS","ERREUR")</f>
        <v/>
      </c>
    </row>
    <row r="32">
      <c r="A32" t="n">
        <v>28</v>
      </c>
      <c r="B32" t="inlineStr">
        <is>
          <t>Scenarios : le meilleur est bien le repositionnement</t>
        </is>
      </c>
      <c r="C32">
        <f>"Repositionnement"</f>
        <v/>
      </c>
      <c r="D32">
        <f>'5 Les trois scenarios'!B9</f>
        <v/>
      </c>
      <c r="E32" s="14">
        <f>IF(EXACT(C32,D32),"PASS","ERREUR")</f>
        <v/>
      </c>
    </row>
    <row r="33">
      <c r="A33" t="n">
        <v>29</v>
      </c>
      <c r="B33" t="inlineStr">
        <is>
          <t>Le taux de bascule depasse quinze pour cent</t>
        </is>
      </c>
      <c r="C33">
        <f>"OUI"</f>
        <v/>
      </c>
      <c r="D33">
        <f>IF('5 Les trois scenarios'!B30&gt;0.15,"OUI","NON")</f>
        <v/>
      </c>
      <c r="E33" s="14">
        <f>IF(EXACT(C33,D33),"PASS","ERREUR")</f>
        <v/>
      </c>
    </row>
    <row r="34">
      <c r="A34" t="n">
        <v>30</v>
      </c>
      <c r="B34" t="inlineStr">
        <is>
          <t>Surfaces : le principal represente 38 % des loyers</t>
        </is>
      </c>
      <c r="C34">
        <f>'1 Le Cap Horizon'!$B$7*0.38</f>
        <v/>
      </c>
      <c r="D34">
        <f>'6 Les surfaces'!B5*'2 Les deux bilans'!B7</f>
        <v/>
      </c>
      <c r="E34" s="14">
        <f>IF(ABS(D34-C34)&lt;10,"PASS","ERREUR")</f>
        <v/>
      </c>
    </row>
    <row r="35">
      <c r="A35" t="n">
        <v>31</v>
      </c>
      <c r="B35" t="inlineStr">
        <is>
          <t>⚠ Surfaces : le loyer implicite des relocations est inferieur aux lots signes</t>
        </is>
      </c>
      <c r="C35">
        <f>"OUI"</f>
        <v/>
      </c>
      <c r="D35">
        <f>IF('6 Les surfaces'!B12&lt;'6 Les surfaces'!B13,"OUI","NON")</f>
        <v/>
      </c>
      <c r="E35" s="14">
        <f>IF(EXACT(C35,D35),"PASS","ERREUR")</f>
        <v/>
      </c>
    </row>
    <row r="36">
      <c r="A36" t="n">
        <v>32</v>
      </c>
      <c r="B36" t="inlineStr">
        <is>
          <t>⚠ Surfaces : l'ecart depasse cinquante euros du metre carre</t>
        </is>
      </c>
      <c r="C36">
        <f>"OUI"</f>
        <v/>
      </c>
      <c r="D36">
        <f>IF('6 Les surfaces'!B13-'6 Les surfaces'!B12&gt;50,"OUI","NON")</f>
        <v/>
      </c>
      <c r="E36" s="14">
        <f>IF(EXACT(C36,D36),"PASS","ERREUR")</f>
        <v/>
      </c>
    </row>
    <row r="37">
      <c r="A37" t="n">
        <v>33</v>
      </c>
      <c r="B37" t="inlineStr">
        <is>
          <t>⚠ Surfaces : a l'inverse, le reste de l'immeuble devrait avoir perdu du loyer</t>
        </is>
      </c>
      <c r="C37">
        <f>"OUI"</f>
        <v/>
      </c>
      <c r="D37">
        <f>IF('6 Les surfaces'!B23&lt;0,"OUI","NON")</f>
        <v/>
      </c>
      <c r="E37" s="14">
        <f>IF(EXACT(C37,D37),"PASS","ERREUR")</f>
        <v/>
      </c>
    </row>
    <row r="38">
      <c r="A38" t="n">
        <v>34</v>
      </c>
      <c r="B38" t="inlineStr">
        <is>
          <t>⚠ Surfaces : il manque des surfaces relouees pour atteindre 94 %</t>
        </is>
      </c>
      <c r="C38">
        <f>"OUI"</f>
        <v/>
      </c>
      <c r="D38">
        <f>IF('6 Les surfaces'!B24&gt;0,"OUI","NON")</f>
        <v/>
      </c>
      <c r="E38" s="14">
        <f>IF(EXACT(C38,D38),"PASS","ERREUR")</f>
        <v/>
      </c>
    </row>
    <row r="39">
      <c r="A39" t="n">
        <v>35</v>
      </c>
      <c r="B39" t="inlineStr">
        <is>
          <t>Le cas reconcilie sur l'argent : les deux chiffres du livre tombent juste</t>
        </is>
      </c>
      <c r="C39">
        <f>"OUI"</f>
        <v/>
      </c>
      <c r="D39">
        <f>IF(AND(ABS('2 Les deux bilans'!D9-470000)&lt;1,ABS('2 Les deux bilans'!D10-3900000)&lt;1),"OUI","NON")</f>
        <v/>
      </c>
      <c r="E39" s="14">
        <f>IF(EXACT(C39,D39),"PASS","ERREUR")</f>
        <v/>
      </c>
    </row>
    <row r="40">
      <c r="A40" t="n">
        <v>36</v>
      </c>
      <c r="B40" t="inlineStr">
        <is>
          <t>Total engage par le fonds : 14 millions plus 2,05</t>
        </is>
      </c>
      <c r="C40">
        <f>16050000</f>
        <v/>
      </c>
      <c r="D40">
        <f>'4 La soustraction'!B28</f>
        <v/>
      </c>
      <c r="E40" s="14">
        <f>IF(ABS(D40-C40)&lt;1e-09,"PASS","ERREUR")</f>
        <v/>
      </c>
    </row>
    <row r="41">
      <c r="A41" t="n">
        <v>37</v>
      </c>
      <c r="B41" t="inlineStr">
        <is>
          <t>⚠ Rapporte au total engage, l'operation est encore en moins-value</t>
        </is>
      </c>
      <c r="C41">
        <f>"OUI"</f>
        <v/>
      </c>
      <c r="D41">
        <f>IF('4 La soustraction'!B30&lt;0,"OUI","NON")</f>
        <v/>
      </c>
      <c r="E41" s="14">
        <f>IF(EXACT(C41,D41),"PASS","ERREUR")</f>
        <v/>
      </c>
    </row>
    <row r="42">
      <c r="A42" t="n">
        <v>38</v>
      </c>
      <c r="B42" t="inlineStr">
        <is>
          <t>Le chapitre mesure donc depuis le point bas, pas depuis l'argent engage</t>
        </is>
      </c>
      <c r="C42">
        <f>"OUI"</f>
        <v/>
      </c>
      <c r="D42">
        <f>IF(AND('2 Les deux bilans'!D10&gt;0,'4 La soustraction'!B30&lt;0),"OUI","NON")</f>
        <v/>
      </c>
      <c r="E42" s="14">
        <f>IF(EXACT(C42,D42),"PASS","ERREUR")</f>
        <v/>
      </c>
    </row>
    <row r="44">
      <c r="B44" s="14" t="inlineStr">
        <is>
          <t>PASS comptes</t>
        </is>
      </c>
      <c r="E44" s="16">
        <f>COUNTIF(E5:E42,"PASS")</f>
        <v/>
      </c>
    </row>
    <row r="45">
      <c r="B45" s="14" t="inlineStr">
        <is>
          <t>Controles au total</t>
        </is>
      </c>
      <c r="E45" s="14" t="n">
        <v>38</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2026-08-22T18:50:41Z</dcterms:created>
  <dcterms:modified xmlns:dcterms="http://purl.org/dc/terms/" xmlns:xsi="http://www.w3.org/2001/XMLSchema-instance" xsi:type="dcterms:W3CDTF">2026-08-22T18:50:41Z</dcterms:modified>
</cp:coreProperties>
</file>