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Le cas Kleber" sheetId="1" state="visible" r:id="rId1"/>
    <sheet xmlns:r="http://schemas.openxmlformats.org/officeDocument/2006/relationships" name="2 Les flux" sheetId="2" state="visible" r:id="rId2"/>
    <sheet xmlns:r="http://schemas.openxmlformats.org/officeDocument/2006/relationships" name="3 Les seuils du memo" sheetId="3" state="visible" r:id="rId3"/>
    <sheet xmlns:r="http://schemas.openxmlformats.org/officeDocument/2006/relationships" name="4 Le chapitre 7" sheetId="4" state="visible" r:id="rId4"/>
    <sheet xmlns:r="http://schemas.openxmlformats.org/officeDocument/2006/relationships" name="5 Controles" sheetId="5" state="visible" r:id="rId5"/>
  </sheets>
  <definedNames/>
  <calcPr calcId="124519" fullCalcOnLoad="1"/>
</workbook>
</file>

<file path=xl/styles.xml><?xml version="1.0" encoding="utf-8"?>
<styleSheet xmlns="http://schemas.openxmlformats.org/spreadsheetml/2006/main">
  <numFmts count="3">
    <numFmt numFmtId="164" formatCode="0.0%"/>
    <numFmt numFmtId="165" formatCode="0.000&quot;x&quot;"/>
    <numFmt numFmtId="166" formatCode="0.00&quot;x&quot;"/>
  </numFmts>
  <fonts count="5">
    <font>
      <name val="Calibri"/>
      <family val="2"/>
      <color theme="1"/>
      <sz val="11"/>
      <scheme val="minor"/>
    </font>
    <font>
      <b val="1"/>
      <sz val="13"/>
    </font>
    <font>
      <i val="1"/>
      <color rgb="00666666"/>
      <sz val="9"/>
    </font>
    <font>
      <b val="1"/>
    </font>
    <font>
      <b val="1"/>
      <color rgb="00FFFFFF"/>
    </font>
  </fonts>
  <fills count="6">
    <fill>
      <patternFill/>
    </fill>
    <fill>
      <patternFill patternType="gray125"/>
    </fill>
    <fill>
      <patternFill patternType="solid">
        <fgColor rgb="00EDEDED"/>
      </patternFill>
    </fill>
    <fill>
      <patternFill patternType="solid">
        <fgColor rgb="00FFF2CC"/>
      </patternFill>
    </fill>
    <fill>
      <patternFill patternType="solid">
        <fgColor rgb="00E2EFDA"/>
      </patternFill>
    </fill>
    <fill>
      <patternFill patternType="solid">
        <fgColor rgb="001B1F27"/>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27">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0" fillId="2" borderId="0" pivotButton="0" quotePrefix="0" xfId="0"/>
    <xf numFmtId="3" fontId="0" fillId="3" borderId="1" pivotButton="0" quotePrefix="0" xfId="0"/>
    <xf numFmtId="9" fontId="0" fillId="3" borderId="1" pivotButton="0" quotePrefix="0" xfId="0"/>
    <xf numFmtId="164" fontId="0" fillId="3" borderId="1" pivotButton="0" quotePrefix="0" xfId="0"/>
    <xf numFmtId="10" fontId="0" fillId="3" borderId="1" pivotButton="0" quotePrefix="0" xfId="0"/>
    <xf numFmtId="0" fontId="3" fillId="0" borderId="0" pivotButton="0" quotePrefix="0" xfId="0"/>
    <xf numFmtId="3" fontId="3" fillId="4" borderId="0" pivotButton="0" quotePrefix="0" xfId="0"/>
    <xf numFmtId="0" fontId="4" fillId="5" borderId="0" applyAlignment="1" pivotButton="0" quotePrefix="0" xfId="0">
      <alignment horizontal="center" wrapText="1"/>
    </xf>
    <xf numFmtId="3" fontId="0" fillId="0" borderId="0" pivotButton="0" quotePrefix="0" xfId="0"/>
    <xf numFmtId="3" fontId="3" fillId="0" borderId="0" pivotButton="0" quotePrefix="0" xfId="0"/>
    <xf numFmtId="165" fontId="3" fillId="4" borderId="0" pivotButton="0" quotePrefix="0" xfId="0"/>
    <xf numFmtId="10" fontId="3" fillId="4" borderId="0" pivotButton="0" quotePrefix="0" xfId="0"/>
    <xf numFmtId="165" fontId="0" fillId="0" borderId="0" pivotButton="0" quotePrefix="0" xfId="0"/>
    <xf numFmtId="10" fontId="0" fillId="0" borderId="0" pivotButton="0" quotePrefix="0" xfId="0"/>
    <xf numFmtId="165" fontId="3" fillId="0" borderId="0" pivotButton="0" quotePrefix="0" xfId="0"/>
    <xf numFmtId="0" fontId="3" fillId="4" borderId="0" pivotButton="0" quotePrefix="0" xfId="0"/>
    <xf numFmtId="10" fontId="3" fillId="0" borderId="0" pivotButton="0" quotePrefix="0" xfId="0"/>
    <xf numFmtId="9" fontId="0" fillId="0" borderId="0" pivotButton="0" quotePrefix="0" xfId="0"/>
    <xf numFmtId="166" fontId="3" fillId="4" borderId="0" pivotButton="0" quotePrefix="0" xfId="0"/>
    <xf numFmtId="165" fontId="0" fillId="3" borderId="1" pivotButton="0" quotePrefix="0" xfId="0"/>
    <xf numFmtId="4" fontId="0" fillId="0" borderId="0" pivotButton="0" quotePrefix="0" xfId="0"/>
    <xf numFmtId="4" fontId="3" fillId="4" borderId="0" pivotButton="0" quotePrefix="0" xfId="0"/>
    <xf numFmtId="164" fontId="3"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4"/>
  <sheetViews>
    <sheetView showGridLines="0" workbookViewId="0">
      <pane ySplit="4" topLeftCell="A5" activePane="bottomLeft" state="frozen"/>
      <selection pane="bottomLeft" activeCell="A1" sqref="A1"/>
    </sheetView>
  </sheetViews>
  <sheetFormatPr baseColWidth="8" defaultRowHeight="15"/>
  <cols>
    <col width="44" customWidth="1" min="1" max="1"/>
    <col width="14" customWidth="1" min="2" max="2"/>
    <col width="3" customWidth="1" min="3" max="3"/>
    <col width="64" customWidth="1" min="4" max="4"/>
  </cols>
  <sheetData>
    <row r="1">
      <c r="A1" s="1" t="inlineStr">
        <is>
          <t>Le cas Kléber — toutes les données du Model Test</t>
        </is>
      </c>
    </row>
    <row r="2">
      <c r="A2" s="2" t="inlineStr">
        <is>
          <t>L'annexe du livre donne un cas entierement specifie : surfaces, prix, frais, capex, loyers, calendrier, dette, taux, sortie. Puis elle annonce un TRI « autour de 18-20 % » dans la resolution et « 19,5 % » dans le memo. Ce classeur calcule le TRI. Toutes les cellules ambrees sont imprimees dans le livre ; une seule est ajoutee, signalee.</t>
        </is>
      </c>
    </row>
    <row r="4">
      <c r="A4" s="3" t="inlineStr">
        <is>
          <t>L'ACTIF ET LE PRIX</t>
        </is>
      </c>
      <c r="B4" s="4" t="n"/>
      <c r="C4" s="4" t="n"/>
      <c r="D4" s="4" t="n"/>
    </row>
    <row r="5">
      <c r="A5" t="inlineStr">
        <is>
          <t>Surface, m2</t>
        </is>
      </c>
      <c r="B5" s="5" t="n">
        <v>5000</v>
      </c>
      <c r="D5" s="2" t="inlineStr">
        <is>
          <t>« 5 000 m2 »</t>
        </is>
      </c>
    </row>
    <row r="6">
      <c r="A6" t="inlineStr">
        <is>
          <t>Prix demande, EUR</t>
        </is>
      </c>
      <c r="B6" s="5" t="n">
        <v>40000000</v>
      </c>
      <c r="D6" s="2" t="inlineStr">
        <is>
          <t>« 40 M€ »</t>
        </is>
      </c>
    </row>
    <row r="7">
      <c r="A7" t="inlineStr">
        <is>
          <t>Frais d'acquisition</t>
        </is>
      </c>
      <c r="B7" s="6" t="n">
        <v>0.07000000000000001</v>
      </c>
      <c r="D7" s="2" t="inlineStr">
        <is>
          <t>« 7 % du prix d'achat »</t>
        </is>
      </c>
    </row>
    <row r="8">
      <c r="A8" t="inlineStr">
        <is>
          <t>Surface vacante, m2</t>
        </is>
      </c>
      <c r="B8" s="5" t="n">
        <v>2500</v>
      </c>
      <c r="D8" s="2" t="inlineStr">
        <is>
          <t>« loue a 50 % (2 500 m2 vacants) »</t>
        </is>
      </c>
    </row>
    <row r="9">
      <c r="A9" t="inlineStr">
        <is>
          <t>Loyer en place, EUR/m2/an</t>
        </is>
      </c>
      <c r="B9" s="5" t="n">
        <v>400</v>
      </c>
      <c r="D9" s="2" t="inlineStr">
        <is>
          <t>« 400 €/m²/an, bail ferme restant de 3 ans »</t>
        </is>
      </c>
    </row>
    <row r="10">
      <c r="A10" t="inlineStr">
        <is>
          <t>Capex, EUR/m2</t>
        </is>
      </c>
      <c r="B10" s="5" t="n">
        <v>1000</v>
      </c>
      <c r="D10" s="2" t="inlineStr">
        <is>
          <t>« 1 000 €/m² sur la surface vacante »</t>
        </is>
      </c>
    </row>
    <row r="11">
      <c r="A11" t="inlineStr">
        <is>
          <t>Loyer de marche (ERV), EUR/m2/an</t>
        </is>
      </c>
      <c r="B11" s="5" t="n">
        <v>650</v>
      </c>
      <c r="D11" s="2" t="inlineStr">
        <is>
          <t>« 650 €/m²/an, apres renovation »</t>
        </is>
      </c>
    </row>
    <row r="12">
      <c r="A12" t="inlineStr">
        <is>
          <t>Charges non recuperables</t>
        </is>
      </c>
      <c r="B12" s="6" t="n">
        <v>0.05</v>
      </c>
      <c r="D12" s="2" t="inlineStr">
        <is>
          <t>« 5 % des loyers bruts »</t>
        </is>
      </c>
    </row>
    <row r="13">
      <c r="A13" t="inlineStr">
        <is>
          <t>Inflation des loyers</t>
        </is>
      </c>
      <c r="B13" s="6" t="n">
        <v>0.02</v>
      </c>
      <c r="D13" s="2" t="inlineStr">
        <is>
          <t>« 2 % par an »</t>
        </is>
      </c>
    </row>
    <row r="15">
      <c r="A15" s="3" t="inlineStr">
        <is>
          <t>LE FINANCEMENT ET LA SORTIE</t>
        </is>
      </c>
      <c r="B15" s="4" t="n"/>
      <c r="C15" s="4" t="n"/>
      <c r="D15" s="4" t="n"/>
    </row>
    <row r="16">
      <c r="A16" t="inlineStr">
        <is>
          <t>Dette senior, LTV du cout total</t>
        </is>
      </c>
      <c r="B16" s="6" t="n">
        <v>0.6</v>
      </c>
      <c r="D16" s="2" t="inlineStr">
        <is>
          <t>« 60 % du cout total »</t>
        </is>
      </c>
    </row>
    <row r="17">
      <c r="A17" t="inlineStr">
        <is>
          <t>Taux d'interet</t>
        </is>
      </c>
      <c r="B17" s="7" t="n">
        <v>0.045</v>
      </c>
      <c r="D17" s="2" t="inlineStr">
        <is>
          <t>« 4,5 %, in fine »</t>
        </is>
      </c>
    </row>
    <row r="18">
      <c r="A18" t="inlineStr">
        <is>
          <t>Horizon, annees</t>
        </is>
      </c>
      <c r="B18" s="5" t="n">
        <v>5</v>
      </c>
      <c r="D18" s="2" t="inlineStr">
        <is>
          <t>« revente a la fin de l'annee 5 »</t>
        </is>
      </c>
    </row>
    <row r="19">
      <c r="A19" t="inlineStr">
        <is>
          <t>Taux de capitalisation de sortie</t>
        </is>
      </c>
      <c r="B19" s="8" t="n">
        <v>0.0475</v>
      </c>
      <c r="D19" s="2" t="inlineStr">
        <is>
          <t>« 4,75 % sur le loyer net stabilise »</t>
        </is>
      </c>
    </row>
    <row r="20">
      <c r="A20" t="inlineStr">
        <is>
          <t>Rendement prioritaire (hurdle), chapitre 7</t>
        </is>
      </c>
      <c r="B20" s="6" t="n">
        <v>0.08</v>
      </c>
      <c r="D20" s="2" t="inlineStr">
        <is>
          <t>« souvent 7 % ou 8 % par an »</t>
        </is>
      </c>
    </row>
    <row r="21">
      <c r="A21" t="inlineStr">
        <is>
          <t>Carried interest, chapitre 7</t>
        </is>
      </c>
      <c r="B21" s="6" t="n">
        <v>0.2</v>
      </c>
      <c r="D21" s="2" t="inlineStr">
        <is>
          <t>« 20 % pour le Fund Manager »</t>
        </is>
      </c>
    </row>
    <row r="23">
      <c r="A23" s="3" t="inlineStr">
        <is>
          <t>LA SEULE DONNEE AJOUTEE</t>
        </is>
      </c>
      <c r="B23" s="4" t="n"/>
      <c r="C23" s="4" t="n"/>
      <c r="D23" s="4" t="n"/>
    </row>
    <row r="24">
      <c r="A24" t="inlineStr">
        <is>
          <t>Le loyer de marche est-il indexe depuis l'annee 0 ? (1 = oui)</t>
        </is>
      </c>
      <c r="B24" s="5" t="n">
        <v>1</v>
      </c>
      <c r="D24" s="2" t="inlineStr">
        <is>
          <t>AJOUTE — l'enonce ne le dit pas, et c'est la donnee qui deplace le plus le resultat. Mettez 0 et regardez la feuille 2.</t>
        </is>
      </c>
    </row>
    <row r="26">
      <c r="A26" s="3" t="inlineStr">
        <is>
          <t>SOURCES &amp; USES — deduit</t>
        </is>
      </c>
      <c r="B26" s="4" t="n"/>
      <c r="C26" s="4" t="n"/>
      <c r="D26" s="4" t="n"/>
    </row>
    <row r="27">
      <c r="A27" s="9" t="inlineStr">
        <is>
          <t>Prix d'achat</t>
        </is>
      </c>
      <c r="B27" s="10">
        <f>B6</f>
        <v/>
      </c>
    </row>
    <row r="28">
      <c r="A28" s="9" t="inlineStr">
        <is>
          <t>Frais d'acquisition</t>
        </is>
      </c>
      <c r="B28" s="10">
        <f>B6*B7</f>
        <v/>
      </c>
    </row>
    <row r="29">
      <c r="A29" s="9" t="inlineStr">
        <is>
          <t>Capex total</t>
        </is>
      </c>
      <c r="B29" s="10">
        <f>B5*B10</f>
        <v/>
      </c>
    </row>
    <row r="30">
      <c r="A30" s="9" t="inlineStr">
        <is>
          <t>Total Uses</t>
        </is>
      </c>
      <c r="B30" s="10">
        <f>B27+B28+B29</f>
        <v/>
      </c>
      <c r="D30" s="2" t="inlineStr">
        <is>
          <t>Le livre annonce 47,8 M€. La feuille le retrouve.</t>
        </is>
      </c>
    </row>
    <row r="31">
      <c r="A31" s="9" t="inlineStr">
        <is>
          <t>Dette</t>
        </is>
      </c>
      <c r="B31" s="10">
        <f>B30*B16</f>
        <v/>
      </c>
    </row>
    <row r="32">
      <c r="A32" s="9" t="inlineStr">
        <is>
          <t>Equity</t>
        </is>
      </c>
      <c r="B32" s="10">
        <f>B30-B31</f>
        <v/>
      </c>
      <c r="D32" s="2" t="inlineStr">
        <is>
          <t>Le livre annonce 19,1 M€ : « vous devez faire un cheque de 19,1 M€ ».</t>
        </is>
      </c>
    </row>
    <row r="33">
      <c r="A33" s="9" t="inlineStr">
        <is>
          <t>Interet annuel</t>
        </is>
      </c>
      <c r="B33" s="10">
        <f>B31*B17</f>
        <v/>
      </c>
    </row>
    <row r="34">
      <c r="A34" s="9" t="inlineStr">
        <is>
          <t>Ligne de capex tiree au depart</t>
        </is>
      </c>
      <c r="B34" s="10">
        <f>B30-B27-B28</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26"/>
  <sheetViews>
    <sheetView showGridLines="0" workbookViewId="0">
      <pane ySplit="4" topLeftCell="A5" activePane="bottomLeft" state="frozen"/>
      <selection pane="bottomLeft" activeCell="A1" sqref="A1"/>
    </sheetView>
  </sheetViews>
  <sheetFormatPr baseColWidth="8" defaultRowHeight="15"/>
  <cols>
    <col width="34" customWidth="1" min="1" max="1"/>
    <col width="13" customWidth="1" min="2" max="2"/>
    <col width="13" customWidth="1" min="3" max="3"/>
    <col width="13" customWidth="1" min="4" max="4"/>
    <col width="13" customWidth="1" min="5" max="5"/>
    <col width="13" customWidth="1" min="6" max="6"/>
    <col width="13" customWidth="1" min="7" max="7"/>
    <col width="13" customWidth="1" min="8" max="8"/>
    <col width="3" customWidth="1" min="10" max="10"/>
    <col width="54" customWidth="1" min="11" max="11"/>
  </cols>
  <sheetData>
    <row r="1">
      <c r="A1" s="1" t="inlineStr">
        <is>
          <t>Les flux, année par année — et les deux réponses possibles</t>
        </is>
      </c>
    </row>
    <row r="2">
      <c r="A2" s="2" t="inlineStr">
        <is>
          <t>Le brief specifie tout sauf une chose : si le loyer de marche de 650 EUR est la valeur d'aujourd'hui, a indexer jusqu'a la relocation, ou deja le loyer du jour de la signature. Le brief ne le dit pas. Les deux colonnes de droite montrent ce que cette seule question deplace.</t>
        </is>
      </c>
    </row>
    <row r="4">
      <c r="A4" s="11" t="inlineStr">
        <is>
          <t>Annee</t>
        </is>
      </c>
      <c r="B4" s="11" t="inlineStr">
        <is>
          <t>1</t>
        </is>
      </c>
      <c r="C4" s="11" t="inlineStr">
        <is>
          <t>2</t>
        </is>
      </c>
      <c r="D4" s="11" t="inlineStr">
        <is>
          <t>3</t>
        </is>
      </c>
      <c r="E4" s="11" t="inlineStr">
        <is>
          <t>4</t>
        </is>
      </c>
      <c r="F4" s="11" t="inlineStr">
        <is>
          <t>5</t>
        </is>
      </c>
      <c r="G4" s="11" t="inlineStr">
        <is>
          <t>6</t>
        </is>
      </c>
    </row>
    <row r="5">
      <c r="A5" t="inlineStr">
        <is>
          <t>Loyer du locataire en place</t>
        </is>
      </c>
      <c r="B5" s="12">
        <f>'1 Le cas Kleber'!$B$8*'1 Le cas Kleber'!$B$9*(1+'1 Le cas Kleber'!$B$13)^1</f>
        <v/>
      </c>
      <c r="C5" s="12">
        <f>'1 Le cas Kleber'!$B$8*'1 Le cas Kleber'!$B$9*(1+'1 Le cas Kleber'!$B$13)^2</f>
        <v/>
      </c>
      <c r="D5" s="12">
        <f>'1 Le cas Kleber'!$B$8*'1 Le cas Kleber'!$B$9*(1+'1 Le cas Kleber'!$B$13)^3</f>
        <v/>
      </c>
      <c r="E5" s="12">
        <f>0</f>
        <v/>
      </c>
      <c r="F5" s="12">
        <f>0</f>
        <v/>
      </c>
      <c r="G5" s="12">
        <f>0</f>
        <v/>
      </c>
    </row>
    <row r="6">
      <c r="A6" t="inlineStr">
        <is>
          <t>Loyer des surfaces relouees</t>
        </is>
      </c>
      <c r="B6" s="12">
        <f>0</f>
        <v/>
      </c>
      <c r="C6" s="12">
        <f>'1 Le cas Kleber'!$B$8*'1 Le cas Kleber'!$B$11*IF('1 Le cas Kleber'!$B$24=1,(1+'1 Le cas Kleber'!$B$13)^2,1)</f>
        <v/>
      </c>
      <c r="D6" s="12">
        <f>'1 Le cas Kleber'!$B$8*'1 Le cas Kleber'!$B$11*IF('1 Le cas Kleber'!$B$24=1,(1+'1 Le cas Kleber'!$B$13)^3,1)</f>
        <v/>
      </c>
      <c r="E6" s="12">
        <f>'1 Le cas Kleber'!$B$8*'1 Le cas Kleber'!$B$11*IF('1 Le cas Kleber'!$B$24=1,(1+'1 Le cas Kleber'!$B$13)^4,1)</f>
        <v/>
      </c>
      <c r="F6" s="12">
        <f>'1 Le cas Kleber'!$B$5*'1 Le cas Kleber'!$B$11*IF('1 Le cas Kleber'!$B$24=1,(1+'1 Le cas Kleber'!$B$13)^5,1)</f>
        <v/>
      </c>
      <c r="G6" s="12">
        <f>'1 Le cas Kleber'!$B$5*'1 Le cas Kleber'!$B$11*IF('1 Le cas Kleber'!$B$24=1,(1+'1 Le cas Kleber'!$B$13)^6,1)</f>
        <v/>
      </c>
    </row>
    <row r="7">
      <c r="A7" t="inlineStr">
        <is>
          <t>Loyer brut total</t>
        </is>
      </c>
      <c r="B7" s="12">
        <f>B5+B6</f>
        <v/>
      </c>
      <c r="C7" s="12">
        <f>C5+C6</f>
        <v/>
      </c>
      <c r="D7" s="12">
        <f>D5+D6</f>
        <v/>
      </c>
      <c r="E7" s="12">
        <f>E5+E6</f>
        <v/>
      </c>
      <c r="F7" s="12">
        <f>F5+F6</f>
        <v/>
      </c>
      <c r="G7" s="12">
        <f>G5+G6</f>
        <v/>
      </c>
    </row>
    <row r="8">
      <c r="A8" t="inlineStr">
        <is>
          <t>Loyer net (NOI)</t>
        </is>
      </c>
      <c r="B8" s="12">
        <f>B7*(1-'1 Le cas Kleber'!$B$12)</f>
        <v/>
      </c>
      <c r="C8" s="12">
        <f>C7*(1-'1 Le cas Kleber'!$B$12)</f>
        <v/>
      </c>
      <c r="D8" s="12">
        <f>D7*(1-'1 Le cas Kleber'!$B$12)</f>
        <v/>
      </c>
      <c r="E8" s="12">
        <f>E7*(1-'1 Le cas Kleber'!$B$12)</f>
        <v/>
      </c>
      <c r="F8" s="12">
        <f>F7*(1-'1 Le cas Kleber'!$B$12)</f>
        <v/>
      </c>
      <c r="G8" s="12">
        <f>G7*(1-'1 Le cas Kleber'!$B$12)</f>
        <v/>
      </c>
    </row>
    <row r="9">
      <c r="A9" t="inlineStr">
        <is>
          <t>Interet</t>
        </is>
      </c>
      <c r="B9" s="12">
        <f>'1 Le cas Kleber'!$B$33</f>
        <v/>
      </c>
      <c r="C9" s="12">
        <f>'1 Le cas Kleber'!$B$33</f>
        <v/>
      </c>
      <c r="D9" s="12">
        <f>'1 Le cas Kleber'!$B$33</f>
        <v/>
      </c>
      <c r="E9" s="12">
        <f>'1 Le cas Kleber'!$B$33</f>
        <v/>
      </c>
      <c r="F9" s="12">
        <f>'1 Le cas Kleber'!$B$33</f>
        <v/>
      </c>
    </row>
    <row r="10">
      <c r="A10" t="inlineStr">
        <is>
          <t>Capex</t>
        </is>
      </c>
      <c r="B10" s="12">
        <f>'1 Le cas Kleber'!$B$8*'1 Le cas Kleber'!$B$10</f>
        <v/>
      </c>
      <c r="C10" s="12">
        <f>0</f>
        <v/>
      </c>
      <c r="D10" s="12">
        <f>0</f>
        <v/>
      </c>
      <c r="E10" s="12">
        <f>'1 Le cas Kleber'!$B$8*'1 Le cas Kleber'!$B$10</f>
        <v/>
      </c>
      <c r="F10" s="12">
        <f>0</f>
        <v/>
      </c>
    </row>
    <row r="11">
      <c r="A11" t="inlineStr">
        <is>
          <t>Caisse du projet</t>
        </is>
      </c>
      <c r="B11" s="12">
        <f>MIN(0,('1 Le cas Kleber'!$B$34+B8-B9-B10))</f>
        <v/>
      </c>
      <c r="C11" s="12">
        <f>MIN(0,(B11+C8-C9-C10))</f>
        <v/>
      </c>
      <c r="D11" s="12">
        <f>MIN(0,(C11+D8-D9-D10))</f>
        <v/>
      </c>
      <c r="E11" s="12">
        <f>MIN(0,(D11+E8-E9-E10))</f>
        <v/>
      </c>
      <c r="F11" s="12">
        <f>MIN(0,(E11+F8-F9-F10))</f>
        <v/>
      </c>
    </row>
    <row r="12">
      <c r="A12" t="inlineStr">
        <is>
          <t>Distribution aux fonds propres</t>
        </is>
      </c>
      <c r="B12" s="12">
        <f>MAX(0,('1 Le cas Kleber'!$B$34+B8-B9-B10))</f>
        <v/>
      </c>
      <c r="C12" s="12">
        <f>MAX(0,(B11+C8-C9-C10))</f>
        <v/>
      </c>
      <c r="D12" s="12">
        <f>MAX(0,(C11+D8-D9-D10))</f>
        <v/>
      </c>
      <c r="E12" s="12">
        <f>MAX(0,(D11+E8-E9-E10))</f>
        <v/>
      </c>
      <c r="F12" s="12">
        <f>MAX(0,(E11+F8-F9-F10))</f>
        <v/>
      </c>
    </row>
    <row r="14">
      <c r="A14" s="3" t="inlineStr">
        <is>
          <t>LA SORTIE ET LES INDICATEURS</t>
        </is>
      </c>
      <c r="B14" s="4" t="n"/>
      <c r="C14" s="4" t="n"/>
      <c r="D14" s="4" t="n"/>
      <c r="E14" s="4" t="n"/>
      <c r="F14" s="4" t="n"/>
      <c r="G14" s="4" t="n"/>
      <c r="H14" s="4" t="n"/>
    </row>
    <row r="15">
      <c r="A15" t="inlineStr">
        <is>
          <t>NOI de l'annee 6</t>
        </is>
      </c>
      <c r="B15" s="13">
        <f>G8</f>
        <v/>
      </c>
    </row>
    <row r="16">
      <c r="A16" t="inlineStr">
        <is>
          <t>Prix de vente : NOI 6 / taux de sortie</t>
        </is>
      </c>
      <c r="B16" s="13">
        <f>B15/'1 Le cas Kleber'!$B$19</f>
        <v/>
      </c>
    </row>
    <row r="17">
      <c r="A17" t="inlineStr">
        <is>
          <t>Remboursement de la dette</t>
        </is>
      </c>
      <c r="B17" s="13">
        <f>-'1 Le cas Kleber'!$B$31</f>
        <v/>
      </c>
    </row>
    <row r="18">
      <c r="A18" t="inlineStr">
        <is>
          <t>Caisse residuelle</t>
        </is>
      </c>
      <c r="B18" s="13">
        <f>F11</f>
        <v/>
      </c>
    </row>
    <row r="19">
      <c r="A19" t="inlineStr">
        <is>
          <t>Produit net de la vente</t>
        </is>
      </c>
      <c r="B19" s="13">
        <f>B16+B17+B18</f>
        <v/>
      </c>
    </row>
    <row r="20">
      <c r="A20" t="inlineStr">
        <is>
          <t>Equity investie</t>
        </is>
      </c>
      <c r="B20" s="13">
        <f>'1 Le cas Kleber'!$B$32</f>
        <v/>
      </c>
    </row>
    <row r="21">
      <c r="A21" t="inlineStr">
        <is>
          <t>Somme des distributions</t>
        </is>
      </c>
      <c r="B21" s="13">
        <f>SUM(B12:F12)+B19</f>
        <v/>
      </c>
    </row>
    <row r="22">
      <c r="A22" t="inlineStr">
        <is>
          <t>Multiple sur fonds propres (MOIC)</t>
        </is>
      </c>
      <c r="B22" s="14">
        <f>B21/B20</f>
        <v/>
      </c>
    </row>
    <row r="23">
      <c r="A23" t="inlineStr">
        <is>
          <t>Profit</t>
        </is>
      </c>
      <c r="B23" s="13">
        <f>B21-B20</f>
        <v/>
      </c>
    </row>
    <row r="25">
      <c r="A25" s="9" t="inlineStr">
        <is>
          <t>Flux des fonds propres</t>
        </is>
      </c>
      <c r="B25" s="12">
        <f>-'1 Le cas Kleber'!$B$32</f>
        <v/>
      </c>
      <c r="C25" s="12">
        <f>B12</f>
        <v/>
      </c>
      <c r="D25" s="12">
        <f>C12</f>
        <v/>
      </c>
      <c r="E25" s="12">
        <f>D12</f>
        <v/>
      </c>
      <c r="F25" s="12">
        <f>E12</f>
        <v/>
      </c>
      <c r="G25" s="12">
        <f>F12+B19</f>
        <v/>
      </c>
    </row>
    <row r="26">
      <c r="A26" s="9" t="inlineStr">
        <is>
          <t>TRI levier (IRR)</t>
        </is>
      </c>
      <c r="B26" s="15">
        <f>IRR(B25:G25)</f>
        <v/>
      </c>
      <c r="K26" s="2" t="inlineStr">
        <is>
          <t>Le livre annonce « autour de 18-20 % » dans la resolution et « 19,5 % » dans le memo. Basculez la cellule d'indexation de la feuille 1 et lisez les deux valeurs : elles encadrent le chiffre du memo. L'auteur savait que la reponse n'etait pas determinee.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R30"/>
  <sheetViews>
    <sheetView showGridLines="0" workbookViewId="0">
      <pane ySplit="4" topLeftCell="A5" activePane="bottomLeft" state="frozen"/>
      <selection pane="bottomLeft" activeCell="A1" sqref="A1"/>
    </sheetView>
  </sheetViews>
  <sheetFormatPr baseColWidth="8" defaultRowHeight="15"/>
  <cols>
    <col width="28" customWidth="1" min="1" max="1"/>
    <col width="16" customWidth="1" min="2" max="2"/>
    <col width="16" customWidth="1" min="3" max="3"/>
    <col width="28" customWidth="1" min="4" max="4"/>
    <col width="16" customWidth="1" min="5" max="5"/>
    <col width="16" customWidth="1" min="6" max="6"/>
    <col width="3" customWidth="1" min="7" max="7"/>
    <col width="54" customWidth="1" min="8" max="8"/>
    <col hidden="1" width="13" customWidth="1" min="20" max="20"/>
    <col hidden="1" width="13" customWidth="1" min="21" max="21"/>
    <col hidden="1" width="13" customWidth="1" min="22" max="22"/>
    <col hidden="1" width="13" customWidth="1" min="23" max="23"/>
    <col hidden="1" width="13" customWidth="1" min="24" max="24"/>
    <col hidden="1" width="13" customWidth="1" min="25" max="25"/>
    <col hidden="1" width="13" customWidth="1" min="26" max="26"/>
    <col hidden="1" width="13" customWidth="1" min="27" max="27"/>
    <col hidden="1" width="13" customWidth="1" min="28" max="28"/>
    <col hidden="1" width="13" customWidth="1" min="29" max="29"/>
    <col hidden="1" width="13" customWidth="1" min="30" max="30"/>
    <col hidden="1" width="13" customWidth="1" min="31" max="31"/>
    <col hidden="1" width="13" customWidth="1" min="32" max="32"/>
    <col hidden="1" width="13" customWidth="1" min="33" max="33"/>
    <col hidden="1" width="13" customWidth="1" min="34" max="34"/>
    <col hidden="1" width="13" customWidth="1" min="35" max="35"/>
    <col hidden="1" width="13" customWidth="1" min="36" max="36"/>
    <col hidden="1" width="13" customWidth="1" min="37" max="37"/>
    <col hidden="1" width="13" customWidth="1" min="38" max="38"/>
    <col hidden="1" width="13" customWidth="1" min="39" max="39"/>
    <col hidden="1" width="13" customWidth="1" min="40" max="40"/>
    <col hidden="1" width="13" customWidth="1" min="41" max="41"/>
    <col hidden="1" width="13" customWidth="1" min="42" max="42"/>
    <col hidden="1" width="13" customWidth="1" min="43" max="43"/>
    <col hidden="1" width="13" customWidth="1" min="44" max="44"/>
    <col hidden="1" width="13" customWidth="1" min="45" max="45"/>
    <col hidden="1" width="13" customWidth="1" min="46" max="46"/>
    <col hidden="1" width="13" customWidth="1" min="47" max="47"/>
    <col hidden="1" width="13" customWidth="1" min="48" max="48"/>
    <col hidden="1" width="13" customWidth="1" min="49" max="49"/>
    <col hidden="1" width="13" customWidth="1" min="50" max="50"/>
    <col hidden="1" width="13" customWidth="1" min="51" max="51"/>
    <col hidden="1" width="13" customWidth="1" min="52" max="52"/>
    <col hidden="1" width="13" customWidth="1" min="53" max="53"/>
    <col hidden="1" width="13" customWidth="1" min="54" max="54"/>
    <col hidden="1" width="13" customWidth="1" min="55" max="55"/>
    <col hidden="1" width="13" customWidth="1" min="56" max="56"/>
    <col hidden="1" width="13" customWidth="1" min="57" max="57"/>
    <col hidden="1" width="13" customWidth="1" min="58" max="58"/>
    <col hidden="1" width="13" customWidth="1" min="59" max="59"/>
    <col hidden="1" width="13" customWidth="1" min="60" max="60"/>
    <col hidden="1" width="13" customWidth="1" min="61" max="61"/>
    <col hidden="1" width="13" customWidth="1" min="62" max="62"/>
    <col hidden="1" width="13" customWidth="1" min="63" max="63"/>
    <col hidden="1" width="13" customWidth="1" min="64" max="64"/>
    <col hidden="1" width="13" customWidth="1" min="65" max="65"/>
    <col hidden="1" width="13" customWidth="1" min="66" max="66"/>
    <col hidden="1" width="13" customWidth="1" min="67" max="67"/>
    <col hidden="1" width="13" customWidth="1" min="68" max="68"/>
    <col hidden="1" width="13" customWidth="1" min="69" max="69"/>
    <col hidden="1" width="13" customWidth="1" min="70" max="70"/>
    <col hidden="1" width="13" customWidth="1" min="71" max="71"/>
    <col hidden="1" width="13" customWidth="1" min="72" max="72"/>
    <col hidden="1" width="13" customWidth="1" min="73" max="73"/>
    <col hidden="1" width="13" customWidth="1" min="74" max="74"/>
    <col hidden="1" width="13" customWidth="1" min="75" max="75"/>
    <col hidden="1" width="13" customWidth="1" min="76" max="76"/>
    <col hidden="1" width="13" customWidth="1" min="77" max="77"/>
    <col hidden="1" width="13" customWidth="1" min="78" max="78"/>
    <col hidden="1" width="13" customWidth="1" min="79" max="79"/>
    <col hidden="1" width="13" customWidth="1" min="80" max="80"/>
    <col hidden="1" width="13" customWidth="1" min="81" max="81"/>
    <col hidden="1" width="13" customWidth="1" min="82" max="82"/>
    <col hidden="1" width="13" customWidth="1" min="83" max="83"/>
    <col hidden="1" width="13" customWidth="1" min="84" max="84"/>
    <col hidden="1" width="13" customWidth="1" min="85" max="85"/>
    <col hidden="1" width="13" customWidth="1" min="86" max="86"/>
    <col hidden="1" width="13" customWidth="1" min="87" max="87"/>
    <col hidden="1" width="13" customWidth="1" min="88" max="88"/>
    <col hidden="1" width="13" customWidth="1" min="89" max="89"/>
    <col hidden="1" width="13" customWidth="1" min="90" max="90"/>
    <col hidden="1" width="13" customWidth="1" min="91" max="91"/>
    <col hidden="1" width="13" customWidth="1" min="92" max="92"/>
    <col hidden="1" width="13" customWidth="1" min="93" max="93"/>
    <col hidden="1" width="13" customWidth="1" min="94" max="94"/>
    <col hidden="1" width="13" customWidth="1" min="95" max="95"/>
    <col hidden="1" width="13" customWidth="1" min="96" max="96"/>
    <col hidden="1" width="13" customWidth="1" min="97" max="97"/>
    <col hidden="1" width="13" customWidth="1" min="98" max="98"/>
    <col hidden="1" width="13" customWidth="1" min="99" max="99"/>
  </cols>
  <sheetData>
    <row r="1">
      <c r="A1" s="1" t="inlineStr">
        <is>
          <t>« Breakeven rent is at 450€ » et « the deal works up to a 5.5% exit yield »</t>
        </is>
      </c>
    </row>
    <row r="2">
      <c r="A2" s="2" t="inlineStr">
        <is>
          <t>Le memo d'investissement du livre avance ces deux chiffres comme des attenuations de risque, et n'en calcule aucun. Chaque ligne de ce blatt rejoue le modele complet — six annees de loyers, de charges, d'interets, de capex et de sortie — pour une seule valeur modifiee.</t>
        </is>
      </c>
    </row>
    <row r="4">
      <c r="A4" s="11" t="inlineStr">
        <is>
          <t>Loyer de marche, EUR/m2</t>
        </is>
      </c>
      <c r="B4" s="11" t="inlineStr">
        <is>
          <t>MOIC</t>
        </is>
      </c>
      <c r="C4" s="11" t="inlineStr">
        <is>
          <t>TRI</t>
        </is>
      </c>
      <c r="D4" s="11" t="inlineStr">
        <is>
          <t>Taux de sortie</t>
        </is>
      </c>
      <c r="E4" s="11" t="inlineStr">
        <is>
          <t>MOIC</t>
        </is>
      </c>
      <c r="F4" s="11" t="inlineStr">
        <is>
          <t>TRI</t>
        </is>
      </c>
    </row>
    <row r="5">
      <c r="A5" s="5" t="n">
        <v>380</v>
      </c>
      <c r="B5" s="16">
        <f>AX5/'1 Le cas Kleber'!$B$32</f>
        <v/>
      </c>
      <c r="C5" s="17">
        <f>IRR(AY5:BD5)</f>
        <v/>
      </c>
      <c r="D5" s="8" t="n">
        <v>0.04</v>
      </c>
      <c r="E5" s="16">
        <f>CL5/'1 Le cas Kleber'!$B$32</f>
        <v/>
      </c>
      <c r="F5" s="17">
        <f>IRR(CM5:CR5)</f>
        <v/>
      </c>
      <c r="T5">
        <f>('1 Le cas Kleber'!$B$8*'1 Le cas Kleber'!$B$9*(1+'1 Le cas Kleber'!$B$13)^1)*(1-'1 Le cas Kleber'!$B$12)</f>
        <v/>
      </c>
      <c r="U5">
        <f>'1 Le cas Kleber'!$B$33</f>
        <v/>
      </c>
      <c r="V5">
        <f>'1 Le cas Kleber'!$B$8*'1 Le cas Kleber'!$B$10</f>
        <v/>
      </c>
      <c r="W5">
        <f>MIN(0,'1 Le cas Kleber'!$B$34+T5-U5-V5)</f>
        <v/>
      </c>
      <c r="X5">
        <f>('1 Le cas Kleber'!$B$8*'1 Le cas Kleber'!$B$9*(1+'1 Le cas Kleber'!$B$13)^2+'1 Le cas Kleber'!$B$8*$A$5*IF('1 Le cas Kleber'!$B$24=1,(1+'1 Le cas Kleber'!$B$13)^2,1))*(1-'1 Le cas Kleber'!$B$12)</f>
        <v/>
      </c>
      <c r="Y5">
        <f>'1 Le cas Kleber'!$B$33</f>
        <v/>
      </c>
      <c r="Z5">
        <f>0</f>
        <v/>
      </c>
      <c r="AA5">
        <f>MIN(0,W5+X5-Y5-Z5)</f>
        <v/>
      </c>
      <c r="AB5">
        <f>('1 Le cas Kleber'!$B$8*'1 Le cas Kleber'!$B$9*(1+'1 Le cas Kleber'!$B$13)^3+'1 Le cas Kleber'!$B$8*$A$5*IF('1 Le cas Kleber'!$B$24=1,(1+'1 Le cas Kleber'!$B$13)^3,1))*(1-'1 Le cas Kleber'!$B$12)</f>
        <v/>
      </c>
      <c r="AC5">
        <f>'1 Le cas Kleber'!$B$33</f>
        <v/>
      </c>
      <c r="AD5">
        <f>0</f>
        <v/>
      </c>
      <c r="AE5">
        <f>MIN(0,AA5+AB5-AC5-AD5)</f>
        <v/>
      </c>
      <c r="AF5">
        <f>('1 Le cas Kleber'!$B$8*$A$5*IF('1 Le cas Kleber'!$B$24=1,(1+'1 Le cas Kleber'!$B$13)^4,1))*(1-'1 Le cas Kleber'!$B$12)</f>
        <v/>
      </c>
      <c r="AG5">
        <f>'1 Le cas Kleber'!$B$33</f>
        <v/>
      </c>
      <c r="AH5">
        <f>'1 Le cas Kleber'!$B$8*'1 Le cas Kleber'!$B$10</f>
        <v/>
      </c>
      <c r="AI5">
        <f>MIN(0,AE5+AF5-AG5-AH5)</f>
        <v/>
      </c>
      <c r="AJ5">
        <f>('1 Le cas Kleber'!$B$5*$A$5*IF('1 Le cas Kleber'!$B$24=1,(1+'1 Le cas Kleber'!$B$13)^5,1))*(1-'1 Le cas Kleber'!$B$12)</f>
        <v/>
      </c>
      <c r="AK5">
        <f>'1 Le cas Kleber'!$B$33</f>
        <v/>
      </c>
      <c r="AL5">
        <f>0</f>
        <v/>
      </c>
      <c r="AM5">
        <f>MIN(0,AI5+AJ5-AK5-AL5)</f>
        <v/>
      </c>
      <c r="AN5">
        <f>('1 Le cas Kleber'!$B$5*$A$5*IF('1 Le cas Kleber'!$B$24=1,(1+'1 Le cas Kleber'!$B$13)^6,1))*(1-'1 Le cas Kleber'!$B$12)</f>
        <v/>
      </c>
      <c r="AO5">
        <f>0</f>
        <v/>
      </c>
      <c r="AP5">
        <f>0</f>
        <v/>
      </c>
      <c r="AQ5">
        <f>0</f>
        <v/>
      </c>
      <c r="AR5">
        <f>MAX(0,'1 Le cas Kleber'!$B$34+T5-U5-V5)</f>
        <v/>
      </c>
      <c r="AS5">
        <f>MAX(0,W5+X5-Y5-Z5)</f>
        <v/>
      </c>
      <c r="AT5">
        <f>MAX(0,AA5+AB5-AC5-AD5)</f>
        <v/>
      </c>
      <c r="AU5">
        <f>MAX(0,AE5+AF5-AG5-AH5)</f>
        <v/>
      </c>
      <c r="AV5">
        <f>MAX(0,AI5+AJ5-AK5-AL5)</f>
        <v/>
      </c>
      <c r="AW5">
        <f>AN5/'1 Le cas Kleber'!$B$19-'1 Le cas Kleber'!$B$31+AM5</f>
        <v/>
      </c>
      <c r="AX5">
        <f>AR5+AS5+AT5+AU5+AV5+AW5</f>
        <v/>
      </c>
      <c r="AY5">
        <f>-'1 Le cas Kleber'!$B$32</f>
        <v/>
      </c>
      <c r="AZ5">
        <f>AR5</f>
        <v/>
      </c>
      <c r="BA5">
        <f>AS5</f>
        <v/>
      </c>
      <c r="BB5">
        <f>AT5</f>
        <v/>
      </c>
      <c r="BC5">
        <f>AU5</f>
        <v/>
      </c>
      <c r="BD5">
        <f>AV5+AW5</f>
        <v/>
      </c>
      <c r="BH5">
        <f>('1 Le cas Kleber'!$B$8*'1 Le cas Kleber'!$B$9*(1+'1 Le cas Kleber'!$B$13)^1)*(1-'1 Le cas Kleber'!$B$12)</f>
        <v/>
      </c>
      <c r="BI5">
        <f>'1 Le cas Kleber'!$B$33</f>
        <v/>
      </c>
      <c r="BJ5">
        <f>'1 Le cas Kleber'!$B$8*'1 Le cas Kleber'!$B$10</f>
        <v/>
      </c>
      <c r="BK5">
        <f>MIN(0,'1 Le cas Kleber'!$B$34+BH5-BI5-BJ5)</f>
        <v/>
      </c>
      <c r="BL5">
        <f>('1 Le cas Kleber'!$B$8*'1 Le cas Kleber'!$B$9*(1+'1 Le cas Kleber'!$B$13)^2+'1 Le cas Kleber'!$B$8*'1 Le cas Kleber'!$B$11*IF('1 Le cas Kleber'!$B$24=1,(1+'1 Le cas Kleber'!$B$13)^2,1))*(1-'1 Le cas Kleber'!$B$12)</f>
        <v/>
      </c>
      <c r="BM5">
        <f>'1 Le cas Kleber'!$B$33</f>
        <v/>
      </c>
      <c r="BN5">
        <f>0</f>
        <v/>
      </c>
      <c r="BO5">
        <f>MIN(0,BK5+BL5-BM5-BN5)</f>
        <v/>
      </c>
      <c r="BP5">
        <f>('1 Le cas Kleber'!$B$8*'1 Le cas Kleber'!$B$9*(1+'1 Le cas Kleber'!$B$13)^3+'1 Le cas Kleber'!$B$8*'1 Le cas Kleber'!$B$11*IF('1 Le cas Kleber'!$B$24=1,(1+'1 Le cas Kleber'!$B$13)^3,1))*(1-'1 Le cas Kleber'!$B$12)</f>
        <v/>
      </c>
      <c r="BQ5">
        <f>'1 Le cas Kleber'!$B$33</f>
        <v/>
      </c>
      <c r="BR5">
        <f>0</f>
        <v/>
      </c>
      <c r="BS5">
        <f>MIN(0,BO5+BP5-BQ5-BR5)</f>
        <v/>
      </c>
      <c r="BT5">
        <f>('1 Le cas Kleber'!$B$8*'1 Le cas Kleber'!$B$11*IF('1 Le cas Kleber'!$B$24=1,(1+'1 Le cas Kleber'!$B$13)^4,1))*(1-'1 Le cas Kleber'!$B$12)</f>
        <v/>
      </c>
      <c r="BU5">
        <f>'1 Le cas Kleber'!$B$33</f>
        <v/>
      </c>
      <c r="BV5">
        <f>'1 Le cas Kleber'!$B$8*'1 Le cas Kleber'!$B$10</f>
        <v/>
      </c>
      <c r="BW5">
        <f>MIN(0,BS5+BT5-BU5-BV5)</f>
        <v/>
      </c>
      <c r="BX5">
        <f>('1 Le cas Kleber'!$B$5*'1 Le cas Kleber'!$B$11*IF('1 Le cas Kleber'!$B$24=1,(1+'1 Le cas Kleber'!$B$13)^5,1))*(1-'1 Le cas Kleber'!$B$12)</f>
        <v/>
      </c>
      <c r="BY5">
        <f>'1 Le cas Kleber'!$B$33</f>
        <v/>
      </c>
      <c r="BZ5">
        <f>0</f>
        <v/>
      </c>
      <c r="CA5">
        <f>MIN(0,BW5+BX5-BY5-BZ5)</f>
        <v/>
      </c>
      <c r="CB5">
        <f>('1 Le cas Kleber'!$B$5*'1 Le cas Kleber'!$B$11*IF('1 Le cas Kleber'!$B$24=1,(1+'1 Le cas Kleber'!$B$13)^6,1))*(1-'1 Le cas Kleber'!$B$12)</f>
        <v/>
      </c>
      <c r="CC5">
        <f>0</f>
        <v/>
      </c>
      <c r="CD5">
        <f>0</f>
        <v/>
      </c>
      <c r="CE5">
        <f>0</f>
        <v/>
      </c>
      <c r="CF5">
        <f>MAX(0,'1 Le cas Kleber'!$B$34+BH5-BI5-BJ5)</f>
        <v/>
      </c>
      <c r="CG5">
        <f>MAX(0,BK5+BL5-BM5-BN5)</f>
        <v/>
      </c>
      <c r="CH5">
        <f>MAX(0,BO5+BP5-BQ5-BR5)</f>
        <v/>
      </c>
      <c r="CI5">
        <f>MAX(0,BS5+BT5-BU5-BV5)</f>
        <v/>
      </c>
      <c r="CJ5">
        <f>MAX(0,BW5+BX5-BY5-BZ5)</f>
        <v/>
      </c>
      <c r="CK5">
        <f>CB5/$D$5-'1 Le cas Kleber'!$B$31+CA5</f>
        <v/>
      </c>
      <c r="CL5">
        <f>CF5+CG5+CH5+CI5+CJ5+CK5</f>
        <v/>
      </c>
      <c r="CM5">
        <f>-'1 Le cas Kleber'!$B$32</f>
        <v/>
      </c>
      <c r="CN5">
        <f>CF5</f>
        <v/>
      </c>
      <c r="CO5">
        <f>CG5</f>
        <v/>
      </c>
      <c r="CP5">
        <f>CH5</f>
        <v/>
      </c>
      <c r="CQ5">
        <f>CI5</f>
        <v/>
      </c>
      <c r="CR5">
        <f>CJ5+CK5</f>
        <v/>
      </c>
    </row>
    <row r="6">
      <c r="A6" s="5" t="n">
        <v>400</v>
      </c>
      <c r="B6" s="16">
        <f>AX6/'1 Le cas Kleber'!$B$32</f>
        <v/>
      </c>
      <c r="C6" s="17">
        <f>IRR(AY6:BD6)</f>
        <v/>
      </c>
      <c r="D6" s="8" t="n">
        <v>0.045</v>
      </c>
      <c r="E6" s="16">
        <f>CL6/'1 Le cas Kleber'!$B$32</f>
        <v/>
      </c>
      <c r="F6" s="17">
        <f>IRR(CM6:CR6)</f>
        <v/>
      </c>
      <c r="T6">
        <f>('1 Le cas Kleber'!$B$8*'1 Le cas Kleber'!$B$9*(1+'1 Le cas Kleber'!$B$13)^1)*(1-'1 Le cas Kleber'!$B$12)</f>
        <v/>
      </c>
      <c r="U6">
        <f>'1 Le cas Kleber'!$B$33</f>
        <v/>
      </c>
      <c r="V6">
        <f>'1 Le cas Kleber'!$B$8*'1 Le cas Kleber'!$B$10</f>
        <v/>
      </c>
      <c r="W6">
        <f>MIN(0,'1 Le cas Kleber'!$B$34+T6-U6-V6)</f>
        <v/>
      </c>
      <c r="X6">
        <f>('1 Le cas Kleber'!$B$8*'1 Le cas Kleber'!$B$9*(1+'1 Le cas Kleber'!$B$13)^2+'1 Le cas Kleber'!$B$8*$A$6*IF('1 Le cas Kleber'!$B$24=1,(1+'1 Le cas Kleber'!$B$13)^2,1))*(1-'1 Le cas Kleber'!$B$12)</f>
        <v/>
      </c>
      <c r="Y6">
        <f>'1 Le cas Kleber'!$B$33</f>
        <v/>
      </c>
      <c r="Z6">
        <f>0</f>
        <v/>
      </c>
      <c r="AA6">
        <f>MIN(0,W6+X6-Y6-Z6)</f>
        <v/>
      </c>
      <c r="AB6">
        <f>('1 Le cas Kleber'!$B$8*'1 Le cas Kleber'!$B$9*(1+'1 Le cas Kleber'!$B$13)^3+'1 Le cas Kleber'!$B$8*$A$6*IF('1 Le cas Kleber'!$B$24=1,(1+'1 Le cas Kleber'!$B$13)^3,1))*(1-'1 Le cas Kleber'!$B$12)</f>
        <v/>
      </c>
      <c r="AC6">
        <f>'1 Le cas Kleber'!$B$33</f>
        <v/>
      </c>
      <c r="AD6">
        <f>0</f>
        <v/>
      </c>
      <c r="AE6">
        <f>MIN(0,AA6+AB6-AC6-AD6)</f>
        <v/>
      </c>
      <c r="AF6">
        <f>('1 Le cas Kleber'!$B$8*$A$6*IF('1 Le cas Kleber'!$B$24=1,(1+'1 Le cas Kleber'!$B$13)^4,1))*(1-'1 Le cas Kleber'!$B$12)</f>
        <v/>
      </c>
      <c r="AG6">
        <f>'1 Le cas Kleber'!$B$33</f>
        <v/>
      </c>
      <c r="AH6">
        <f>'1 Le cas Kleber'!$B$8*'1 Le cas Kleber'!$B$10</f>
        <v/>
      </c>
      <c r="AI6">
        <f>MIN(0,AE6+AF6-AG6-AH6)</f>
        <v/>
      </c>
      <c r="AJ6">
        <f>('1 Le cas Kleber'!$B$5*$A$6*IF('1 Le cas Kleber'!$B$24=1,(1+'1 Le cas Kleber'!$B$13)^5,1))*(1-'1 Le cas Kleber'!$B$12)</f>
        <v/>
      </c>
      <c r="AK6">
        <f>'1 Le cas Kleber'!$B$33</f>
        <v/>
      </c>
      <c r="AL6">
        <f>0</f>
        <v/>
      </c>
      <c r="AM6">
        <f>MIN(0,AI6+AJ6-AK6-AL6)</f>
        <v/>
      </c>
      <c r="AN6">
        <f>('1 Le cas Kleber'!$B$5*$A$6*IF('1 Le cas Kleber'!$B$24=1,(1+'1 Le cas Kleber'!$B$13)^6,1))*(1-'1 Le cas Kleber'!$B$12)</f>
        <v/>
      </c>
      <c r="AO6">
        <f>0</f>
        <v/>
      </c>
      <c r="AP6">
        <f>0</f>
        <v/>
      </c>
      <c r="AQ6">
        <f>0</f>
        <v/>
      </c>
      <c r="AR6">
        <f>MAX(0,'1 Le cas Kleber'!$B$34+T6-U6-V6)</f>
        <v/>
      </c>
      <c r="AS6">
        <f>MAX(0,W6+X6-Y6-Z6)</f>
        <v/>
      </c>
      <c r="AT6">
        <f>MAX(0,AA6+AB6-AC6-AD6)</f>
        <v/>
      </c>
      <c r="AU6">
        <f>MAX(0,AE6+AF6-AG6-AH6)</f>
        <v/>
      </c>
      <c r="AV6">
        <f>MAX(0,AI6+AJ6-AK6-AL6)</f>
        <v/>
      </c>
      <c r="AW6">
        <f>AN6/'1 Le cas Kleber'!$B$19-'1 Le cas Kleber'!$B$31+AM6</f>
        <v/>
      </c>
      <c r="AX6">
        <f>AR6+AS6+AT6+AU6+AV6+AW6</f>
        <v/>
      </c>
      <c r="AY6">
        <f>-'1 Le cas Kleber'!$B$32</f>
        <v/>
      </c>
      <c r="AZ6">
        <f>AR6</f>
        <v/>
      </c>
      <c r="BA6">
        <f>AS6</f>
        <v/>
      </c>
      <c r="BB6">
        <f>AT6</f>
        <v/>
      </c>
      <c r="BC6">
        <f>AU6</f>
        <v/>
      </c>
      <c r="BD6">
        <f>AV6+AW6</f>
        <v/>
      </c>
      <c r="BH6">
        <f>('1 Le cas Kleber'!$B$8*'1 Le cas Kleber'!$B$9*(1+'1 Le cas Kleber'!$B$13)^1)*(1-'1 Le cas Kleber'!$B$12)</f>
        <v/>
      </c>
      <c r="BI6">
        <f>'1 Le cas Kleber'!$B$33</f>
        <v/>
      </c>
      <c r="BJ6">
        <f>'1 Le cas Kleber'!$B$8*'1 Le cas Kleber'!$B$10</f>
        <v/>
      </c>
      <c r="BK6">
        <f>MIN(0,'1 Le cas Kleber'!$B$34+BH6-BI6-BJ6)</f>
        <v/>
      </c>
      <c r="BL6">
        <f>('1 Le cas Kleber'!$B$8*'1 Le cas Kleber'!$B$9*(1+'1 Le cas Kleber'!$B$13)^2+'1 Le cas Kleber'!$B$8*'1 Le cas Kleber'!$B$11*IF('1 Le cas Kleber'!$B$24=1,(1+'1 Le cas Kleber'!$B$13)^2,1))*(1-'1 Le cas Kleber'!$B$12)</f>
        <v/>
      </c>
      <c r="BM6">
        <f>'1 Le cas Kleber'!$B$33</f>
        <v/>
      </c>
      <c r="BN6">
        <f>0</f>
        <v/>
      </c>
      <c r="BO6">
        <f>MIN(0,BK6+BL6-BM6-BN6)</f>
        <v/>
      </c>
      <c r="BP6">
        <f>('1 Le cas Kleber'!$B$8*'1 Le cas Kleber'!$B$9*(1+'1 Le cas Kleber'!$B$13)^3+'1 Le cas Kleber'!$B$8*'1 Le cas Kleber'!$B$11*IF('1 Le cas Kleber'!$B$24=1,(1+'1 Le cas Kleber'!$B$13)^3,1))*(1-'1 Le cas Kleber'!$B$12)</f>
        <v/>
      </c>
      <c r="BQ6">
        <f>'1 Le cas Kleber'!$B$33</f>
        <v/>
      </c>
      <c r="BR6">
        <f>0</f>
        <v/>
      </c>
      <c r="BS6">
        <f>MIN(0,BO6+BP6-BQ6-BR6)</f>
        <v/>
      </c>
      <c r="BT6">
        <f>('1 Le cas Kleber'!$B$8*'1 Le cas Kleber'!$B$11*IF('1 Le cas Kleber'!$B$24=1,(1+'1 Le cas Kleber'!$B$13)^4,1))*(1-'1 Le cas Kleber'!$B$12)</f>
        <v/>
      </c>
      <c r="BU6">
        <f>'1 Le cas Kleber'!$B$33</f>
        <v/>
      </c>
      <c r="BV6">
        <f>'1 Le cas Kleber'!$B$8*'1 Le cas Kleber'!$B$10</f>
        <v/>
      </c>
      <c r="BW6">
        <f>MIN(0,BS6+BT6-BU6-BV6)</f>
        <v/>
      </c>
      <c r="BX6">
        <f>('1 Le cas Kleber'!$B$5*'1 Le cas Kleber'!$B$11*IF('1 Le cas Kleber'!$B$24=1,(1+'1 Le cas Kleber'!$B$13)^5,1))*(1-'1 Le cas Kleber'!$B$12)</f>
        <v/>
      </c>
      <c r="BY6">
        <f>'1 Le cas Kleber'!$B$33</f>
        <v/>
      </c>
      <c r="BZ6">
        <f>0</f>
        <v/>
      </c>
      <c r="CA6">
        <f>MIN(0,BW6+BX6-BY6-BZ6)</f>
        <v/>
      </c>
      <c r="CB6">
        <f>('1 Le cas Kleber'!$B$5*'1 Le cas Kleber'!$B$11*IF('1 Le cas Kleber'!$B$24=1,(1+'1 Le cas Kleber'!$B$13)^6,1))*(1-'1 Le cas Kleber'!$B$12)</f>
        <v/>
      </c>
      <c r="CC6">
        <f>0</f>
        <v/>
      </c>
      <c r="CD6">
        <f>0</f>
        <v/>
      </c>
      <c r="CE6">
        <f>0</f>
        <v/>
      </c>
      <c r="CF6">
        <f>MAX(0,'1 Le cas Kleber'!$B$34+BH6-BI6-BJ6)</f>
        <v/>
      </c>
      <c r="CG6">
        <f>MAX(0,BK6+BL6-BM6-BN6)</f>
        <v/>
      </c>
      <c r="CH6">
        <f>MAX(0,BO6+BP6-BQ6-BR6)</f>
        <v/>
      </c>
      <c r="CI6">
        <f>MAX(0,BS6+BT6-BU6-BV6)</f>
        <v/>
      </c>
      <c r="CJ6">
        <f>MAX(0,BW6+BX6-BY6-BZ6)</f>
        <v/>
      </c>
      <c r="CK6">
        <f>CB6/$D$6-'1 Le cas Kleber'!$B$31+CA6</f>
        <v/>
      </c>
      <c r="CL6">
        <f>CF6+CG6+CH6+CI6+CJ6+CK6</f>
        <v/>
      </c>
      <c r="CM6">
        <f>-'1 Le cas Kleber'!$B$32</f>
        <v/>
      </c>
      <c r="CN6">
        <f>CF6</f>
        <v/>
      </c>
      <c r="CO6">
        <f>CG6</f>
        <v/>
      </c>
      <c r="CP6">
        <f>CH6</f>
        <v/>
      </c>
      <c r="CQ6">
        <f>CI6</f>
        <v/>
      </c>
      <c r="CR6">
        <f>CJ6+CK6</f>
        <v/>
      </c>
    </row>
    <row r="7">
      <c r="A7" s="5" t="n">
        <v>409</v>
      </c>
      <c r="B7" s="16">
        <f>AX7/'1 Le cas Kleber'!$B$32</f>
        <v/>
      </c>
      <c r="C7" s="17">
        <f>IRR(AY7:BD7)</f>
        <v/>
      </c>
      <c r="D7" s="8" t="n">
        <v>0.0475</v>
      </c>
      <c r="E7" s="16">
        <f>CL7/'1 Le cas Kleber'!$B$32</f>
        <v/>
      </c>
      <c r="F7" s="17">
        <f>IRR(CM7:CR7)</f>
        <v/>
      </c>
      <c r="T7">
        <f>('1 Le cas Kleber'!$B$8*'1 Le cas Kleber'!$B$9*(1+'1 Le cas Kleber'!$B$13)^1)*(1-'1 Le cas Kleber'!$B$12)</f>
        <v/>
      </c>
      <c r="U7">
        <f>'1 Le cas Kleber'!$B$33</f>
        <v/>
      </c>
      <c r="V7">
        <f>'1 Le cas Kleber'!$B$8*'1 Le cas Kleber'!$B$10</f>
        <v/>
      </c>
      <c r="W7">
        <f>MIN(0,'1 Le cas Kleber'!$B$34+T7-U7-V7)</f>
        <v/>
      </c>
      <c r="X7">
        <f>('1 Le cas Kleber'!$B$8*'1 Le cas Kleber'!$B$9*(1+'1 Le cas Kleber'!$B$13)^2+'1 Le cas Kleber'!$B$8*$A$7*IF('1 Le cas Kleber'!$B$24=1,(1+'1 Le cas Kleber'!$B$13)^2,1))*(1-'1 Le cas Kleber'!$B$12)</f>
        <v/>
      </c>
      <c r="Y7">
        <f>'1 Le cas Kleber'!$B$33</f>
        <v/>
      </c>
      <c r="Z7">
        <f>0</f>
        <v/>
      </c>
      <c r="AA7">
        <f>MIN(0,W7+X7-Y7-Z7)</f>
        <v/>
      </c>
      <c r="AB7">
        <f>('1 Le cas Kleber'!$B$8*'1 Le cas Kleber'!$B$9*(1+'1 Le cas Kleber'!$B$13)^3+'1 Le cas Kleber'!$B$8*$A$7*IF('1 Le cas Kleber'!$B$24=1,(1+'1 Le cas Kleber'!$B$13)^3,1))*(1-'1 Le cas Kleber'!$B$12)</f>
        <v/>
      </c>
      <c r="AC7">
        <f>'1 Le cas Kleber'!$B$33</f>
        <v/>
      </c>
      <c r="AD7">
        <f>0</f>
        <v/>
      </c>
      <c r="AE7">
        <f>MIN(0,AA7+AB7-AC7-AD7)</f>
        <v/>
      </c>
      <c r="AF7">
        <f>('1 Le cas Kleber'!$B$8*$A$7*IF('1 Le cas Kleber'!$B$24=1,(1+'1 Le cas Kleber'!$B$13)^4,1))*(1-'1 Le cas Kleber'!$B$12)</f>
        <v/>
      </c>
      <c r="AG7">
        <f>'1 Le cas Kleber'!$B$33</f>
        <v/>
      </c>
      <c r="AH7">
        <f>'1 Le cas Kleber'!$B$8*'1 Le cas Kleber'!$B$10</f>
        <v/>
      </c>
      <c r="AI7">
        <f>MIN(0,AE7+AF7-AG7-AH7)</f>
        <v/>
      </c>
      <c r="AJ7">
        <f>('1 Le cas Kleber'!$B$5*$A$7*IF('1 Le cas Kleber'!$B$24=1,(1+'1 Le cas Kleber'!$B$13)^5,1))*(1-'1 Le cas Kleber'!$B$12)</f>
        <v/>
      </c>
      <c r="AK7">
        <f>'1 Le cas Kleber'!$B$33</f>
        <v/>
      </c>
      <c r="AL7">
        <f>0</f>
        <v/>
      </c>
      <c r="AM7">
        <f>MIN(0,AI7+AJ7-AK7-AL7)</f>
        <v/>
      </c>
      <c r="AN7">
        <f>('1 Le cas Kleber'!$B$5*$A$7*IF('1 Le cas Kleber'!$B$24=1,(1+'1 Le cas Kleber'!$B$13)^6,1))*(1-'1 Le cas Kleber'!$B$12)</f>
        <v/>
      </c>
      <c r="AO7">
        <f>0</f>
        <v/>
      </c>
      <c r="AP7">
        <f>0</f>
        <v/>
      </c>
      <c r="AQ7">
        <f>0</f>
        <v/>
      </c>
      <c r="AR7">
        <f>MAX(0,'1 Le cas Kleber'!$B$34+T7-U7-V7)</f>
        <v/>
      </c>
      <c r="AS7">
        <f>MAX(0,W7+X7-Y7-Z7)</f>
        <v/>
      </c>
      <c r="AT7">
        <f>MAX(0,AA7+AB7-AC7-AD7)</f>
        <v/>
      </c>
      <c r="AU7">
        <f>MAX(0,AE7+AF7-AG7-AH7)</f>
        <v/>
      </c>
      <c r="AV7">
        <f>MAX(0,AI7+AJ7-AK7-AL7)</f>
        <v/>
      </c>
      <c r="AW7">
        <f>AN7/'1 Le cas Kleber'!$B$19-'1 Le cas Kleber'!$B$31+AM7</f>
        <v/>
      </c>
      <c r="AX7">
        <f>AR7+AS7+AT7+AU7+AV7+AW7</f>
        <v/>
      </c>
      <c r="AY7">
        <f>-'1 Le cas Kleber'!$B$32</f>
        <v/>
      </c>
      <c r="AZ7">
        <f>AR7</f>
        <v/>
      </c>
      <c r="BA7">
        <f>AS7</f>
        <v/>
      </c>
      <c r="BB7">
        <f>AT7</f>
        <v/>
      </c>
      <c r="BC7">
        <f>AU7</f>
        <v/>
      </c>
      <c r="BD7">
        <f>AV7+AW7</f>
        <v/>
      </c>
      <c r="BH7">
        <f>('1 Le cas Kleber'!$B$8*'1 Le cas Kleber'!$B$9*(1+'1 Le cas Kleber'!$B$13)^1)*(1-'1 Le cas Kleber'!$B$12)</f>
        <v/>
      </c>
      <c r="BI7">
        <f>'1 Le cas Kleber'!$B$33</f>
        <v/>
      </c>
      <c r="BJ7">
        <f>'1 Le cas Kleber'!$B$8*'1 Le cas Kleber'!$B$10</f>
        <v/>
      </c>
      <c r="BK7">
        <f>MIN(0,'1 Le cas Kleber'!$B$34+BH7-BI7-BJ7)</f>
        <v/>
      </c>
      <c r="BL7">
        <f>('1 Le cas Kleber'!$B$8*'1 Le cas Kleber'!$B$9*(1+'1 Le cas Kleber'!$B$13)^2+'1 Le cas Kleber'!$B$8*'1 Le cas Kleber'!$B$11*IF('1 Le cas Kleber'!$B$24=1,(1+'1 Le cas Kleber'!$B$13)^2,1))*(1-'1 Le cas Kleber'!$B$12)</f>
        <v/>
      </c>
      <c r="BM7">
        <f>'1 Le cas Kleber'!$B$33</f>
        <v/>
      </c>
      <c r="BN7">
        <f>0</f>
        <v/>
      </c>
      <c r="BO7">
        <f>MIN(0,BK7+BL7-BM7-BN7)</f>
        <v/>
      </c>
      <c r="BP7">
        <f>('1 Le cas Kleber'!$B$8*'1 Le cas Kleber'!$B$9*(1+'1 Le cas Kleber'!$B$13)^3+'1 Le cas Kleber'!$B$8*'1 Le cas Kleber'!$B$11*IF('1 Le cas Kleber'!$B$24=1,(1+'1 Le cas Kleber'!$B$13)^3,1))*(1-'1 Le cas Kleber'!$B$12)</f>
        <v/>
      </c>
      <c r="BQ7">
        <f>'1 Le cas Kleber'!$B$33</f>
        <v/>
      </c>
      <c r="BR7">
        <f>0</f>
        <v/>
      </c>
      <c r="BS7">
        <f>MIN(0,BO7+BP7-BQ7-BR7)</f>
        <v/>
      </c>
      <c r="BT7">
        <f>('1 Le cas Kleber'!$B$8*'1 Le cas Kleber'!$B$11*IF('1 Le cas Kleber'!$B$24=1,(1+'1 Le cas Kleber'!$B$13)^4,1))*(1-'1 Le cas Kleber'!$B$12)</f>
        <v/>
      </c>
      <c r="BU7">
        <f>'1 Le cas Kleber'!$B$33</f>
        <v/>
      </c>
      <c r="BV7">
        <f>'1 Le cas Kleber'!$B$8*'1 Le cas Kleber'!$B$10</f>
        <v/>
      </c>
      <c r="BW7">
        <f>MIN(0,BS7+BT7-BU7-BV7)</f>
        <v/>
      </c>
      <c r="BX7">
        <f>('1 Le cas Kleber'!$B$5*'1 Le cas Kleber'!$B$11*IF('1 Le cas Kleber'!$B$24=1,(1+'1 Le cas Kleber'!$B$13)^5,1))*(1-'1 Le cas Kleber'!$B$12)</f>
        <v/>
      </c>
      <c r="BY7">
        <f>'1 Le cas Kleber'!$B$33</f>
        <v/>
      </c>
      <c r="BZ7">
        <f>0</f>
        <v/>
      </c>
      <c r="CA7">
        <f>MIN(0,BW7+BX7-BY7-BZ7)</f>
        <v/>
      </c>
      <c r="CB7">
        <f>('1 Le cas Kleber'!$B$5*'1 Le cas Kleber'!$B$11*IF('1 Le cas Kleber'!$B$24=1,(1+'1 Le cas Kleber'!$B$13)^6,1))*(1-'1 Le cas Kleber'!$B$12)</f>
        <v/>
      </c>
      <c r="CC7">
        <f>0</f>
        <v/>
      </c>
      <c r="CD7">
        <f>0</f>
        <v/>
      </c>
      <c r="CE7">
        <f>0</f>
        <v/>
      </c>
      <c r="CF7">
        <f>MAX(0,'1 Le cas Kleber'!$B$34+BH7-BI7-BJ7)</f>
        <v/>
      </c>
      <c r="CG7">
        <f>MAX(0,BK7+BL7-BM7-BN7)</f>
        <v/>
      </c>
      <c r="CH7">
        <f>MAX(0,BO7+BP7-BQ7-BR7)</f>
        <v/>
      </c>
      <c r="CI7">
        <f>MAX(0,BS7+BT7-BU7-BV7)</f>
        <v/>
      </c>
      <c r="CJ7">
        <f>MAX(0,BW7+BX7-BY7-BZ7)</f>
        <v/>
      </c>
      <c r="CK7">
        <f>CB7/$D$7-'1 Le cas Kleber'!$B$31+CA7</f>
        <v/>
      </c>
      <c r="CL7">
        <f>CF7+CG7+CH7+CI7+CJ7+CK7</f>
        <v/>
      </c>
      <c r="CM7">
        <f>-'1 Le cas Kleber'!$B$32</f>
        <v/>
      </c>
      <c r="CN7">
        <f>CF7</f>
        <v/>
      </c>
      <c r="CO7">
        <f>CG7</f>
        <v/>
      </c>
      <c r="CP7">
        <f>CH7</f>
        <v/>
      </c>
      <c r="CQ7">
        <f>CI7</f>
        <v/>
      </c>
      <c r="CR7">
        <f>CJ7+CK7</f>
        <v/>
      </c>
    </row>
    <row r="8">
      <c r="A8" s="5" t="n">
        <v>420</v>
      </c>
      <c r="B8" s="16">
        <f>AX8/'1 Le cas Kleber'!$B$32</f>
        <v/>
      </c>
      <c r="C8" s="17">
        <f>IRR(AY8:BD8)</f>
        <v/>
      </c>
      <c r="D8" s="8" t="n">
        <v>0.05</v>
      </c>
      <c r="E8" s="16">
        <f>CL8/'1 Le cas Kleber'!$B$32</f>
        <v/>
      </c>
      <c r="F8" s="17">
        <f>IRR(CM8:CR8)</f>
        <v/>
      </c>
      <c r="T8">
        <f>('1 Le cas Kleber'!$B$8*'1 Le cas Kleber'!$B$9*(1+'1 Le cas Kleber'!$B$13)^1)*(1-'1 Le cas Kleber'!$B$12)</f>
        <v/>
      </c>
      <c r="U8">
        <f>'1 Le cas Kleber'!$B$33</f>
        <v/>
      </c>
      <c r="V8">
        <f>'1 Le cas Kleber'!$B$8*'1 Le cas Kleber'!$B$10</f>
        <v/>
      </c>
      <c r="W8">
        <f>MIN(0,'1 Le cas Kleber'!$B$34+T8-U8-V8)</f>
        <v/>
      </c>
      <c r="X8">
        <f>('1 Le cas Kleber'!$B$8*'1 Le cas Kleber'!$B$9*(1+'1 Le cas Kleber'!$B$13)^2+'1 Le cas Kleber'!$B$8*$A$8*IF('1 Le cas Kleber'!$B$24=1,(1+'1 Le cas Kleber'!$B$13)^2,1))*(1-'1 Le cas Kleber'!$B$12)</f>
        <v/>
      </c>
      <c r="Y8">
        <f>'1 Le cas Kleber'!$B$33</f>
        <v/>
      </c>
      <c r="Z8">
        <f>0</f>
        <v/>
      </c>
      <c r="AA8">
        <f>MIN(0,W8+X8-Y8-Z8)</f>
        <v/>
      </c>
      <c r="AB8">
        <f>('1 Le cas Kleber'!$B$8*'1 Le cas Kleber'!$B$9*(1+'1 Le cas Kleber'!$B$13)^3+'1 Le cas Kleber'!$B$8*$A$8*IF('1 Le cas Kleber'!$B$24=1,(1+'1 Le cas Kleber'!$B$13)^3,1))*(1-'1 Le cas Kleber'!$B$12)</f>
        <v/>
      </c>
      <c r="AC8">
        <f>'1 Le cas Kleber'!$B$33</f>
        <v/>
      </c>
      <c r="AD8">
        <f>0</f>
        <v/>
      </c>
      <c r="AE8">
        <f>MIN(0,AA8+AB8-AC8-AD8)</f>
        <v/>
      </c>
      <c r="AF8">
        <f>('1 Le cas Kleber'!$B$8*$A$8*IF('1 Le cas Kleber'!$B$24=1,(1+'1 Le cas Kleber'!$B$13)^4,1))*(1-'1 Le cas Kleber'!$B$12)</f>
        <v/>
      </c>
      <c r="AG8">
        <f>'1 Le cas Kleber'!$B$33</f>
        <v/>
      </c>
      <c r="AH8">
        <f>'1 Le cas Kleber'!$B$8*'1 Le cas Kleber'!$B$10</f>
        <v/>
      </c>
      <c r="AI8">
        <f>MIN(0,AE8+AF8-AG8-AH8)</f>
        <v/>
      </c>
      <c r="AJ8">
        <f>('1 Le cas Kleber'!$B$5*$A$8*IF('1 Le cas Kleber'!$B$24=1,(1+'1 Le cas Kleber'!$B$13)^5,1))*(1-'1 Le cas Kleber'!$B$12)</f>
        <v/>
      </c>
      <c r="AK8">
        <f>'1 Le cas Kleber'!$B$33</f>
        <v/>
      </c>
      <c r="AL8">
        <f>0</f>
        <v/>
      </c>
      <c r="AM8">
        <f>MIN(0,AI8+AJ8-AK8-AL8)</f>
        <v/>
      </c>
      <c r="AN8">
        <f>('1 Le cas Kleber'!$B$5*$A$8*IF('1 Le cas Kleber'!$B$24=1,(1+'1 Le cas Kleber'!$B$13)^6,1))*(1-'1 Le cas Kleber'!$B$12)</f>
        <v/>
      </c>
      <c r="AO8">
        <f>0</f>
        <v/>
      </c>
      <c r="AP8">
        <f>0</f>
        <v/>
      </c>
      <c r="AQ8">
        <f>0</f>
        <v/>
      </c>
      <c r="AR8">
        <f>MAX(0,'1 Le cas Kleber'!$B$34+T8-U8-V8)</f>
        <v/>
      </c>
      <c r="AS8">
        <f>MAX(0,W8+X8-Y8-Z8)</f>
        <v/>
      </c>
      <c r="AT8">
        <f>MAX(0,AA8+AB8-AC8-AD8)</f>
        <v/>
      </c>
      <c r="AU8">
        <f>MAX(0,AE8+AF8-AG8-AH8)</f>
        <v/>
      </c>
      <c r="AV8">
        <f>MAX(0,AI8+AJ8-AK8-AL8)</f>
        <v/>
      </c>
      <c r="AW8">
        <f>AN8/'1 Le cas Kleber'!$B$19-'1 Le cas Kleber'!$B$31+AM8</f>
        <v/>
      </c>
      <c r="AX8">
        <f>AR8+AS8+AT8+AU8+AV8+AW8</f>
        <v/>
      </c>
      <c r="AY8">
        <f>-'1 Le cas Kleber'!$B$32</f>
        <v/>
      </c>
      <c r="AZ8">
        <f>AR8</f>
        <v/>
      </c>
      <c r="BA8">
        <f>AS8</f>
        <v/>
      </c>
      <c r="BB8">
        <f>AT8</f>
        <v/>
      </c>
      <c r="BC8">
        <f>AU8</f>
        <v/>
      </c>
      <c r="BD8">
        <f>AV8+AW8</f>
        <v/>
      </c>
      <c r="BH8">
        <f>('1 Le cas Kleber'!$B$8*'1 Le cas Kleber'!$B$9*(1+'1 Le cas Kleber'!$B$13)^1)*(1-'1 Le cas Kleber'!$B$12)</f>
        <v/>
      </c>
      <c r="BI8">
        <f>'1 Le cas Kleber'!$B$33</f>
        <v/>
      </c>
      <c r="BJ8">
        <f>'1 Le cas Kleber'!$B$8*'1 Le cas Kleber'!$B$10</f>
        <v/>
      </c>
      <c r="BK8">
        <f>MIN(0,'1 Le cas Kleber'!$B$34+BH8-BI8-BJ8)</f>
        <v/>
      </c>
      <c r="BL8">
        <f>('1 Le cas Kleber'!$B$8*'1 Le cas Kleber'!$B$9*(1+'1 Le cas Kleber'!$B$13)^2+'1 Le cas Kleber'!$B$8*'1 Le cas Kleber'!$B$11*IF('1 Le cas Kleber'!$B$24=1,(1+'1 Le cas Kleber'!$B$13)^2,1))*(1-'1 Le cas Kleber'!$B$12)</f>
        <v/>
      </c>
      <c r="BM8">
        <f>'1 Le cas Kleber'!$B$33</f>
        <v/>
      </c>
      <c r="BN8">
        <f>0</f>
        <v/>
      </c>
      <c r="BO8">
        <f>MIN(0,BK8+BL8-BM8-BN8)</f>
        <v/>
      </c>
      <c r="BP8">
        <f>('1 Le cas Kleber'!$B$8*'1 Le cas Kleber'!$B$9*(1+'1 Le cas Kleber'!$B$13)^3+'1 Le cas Kleber'!$B$8*'1 Le cas Kleber'!$B$11*IF('1 Le cas Kleber'!$B$24=1,(1+'1 Le cas Kleber'!$B$13)^3,1))*(1-'1 Le cas Kleber'!$B$12)</f>
        <v/>
      </c>
      <c r="BQ8">
        <f>'1 Le cas Kleber'!$B$33</f>
        <v/>
      </c>
      <c r="BR8">
        <f>0</f>
        <v/>
      </c>
      <c r="BS8">
        <f>MIN(0,BO8+BP8-BQ8-BR8)</f>
        <v/>
      </c>
      <c r="BT8">
        <f>('1 Le cas Kleber'!$B$8*'1 Le cas Kleber'!$B$11*IF('1 Le cas Kleber'!$B$24=1,(1+'1 Le cas Kleber'!$B$13)^4,1))*(1-'1 Le cas Kleber'!$B$12)</f>
        <v/>
      </c>
      <c r="BU8">
        <f>'1 Le cas Kleber'!$B$33</f>
        <v/>
      </c>
      <c r="BV8">
        <f>'1 Le cas Kleber'!$B$8*'1 Le cas Kleber'!$B$10</f>
        <v/>
      </c>
      <c r="BW8">
        <f>MIN(0,BS8+BT8-BU8-BV8)</f>
        <v/>
      </c>
      <c r="BX8">
        <f>('1 Le cas Kleber'!$B$5*'1 Le cas Kleber'!$B$11*IF('1 Le cas Kleber'!$B$24=1,(1+'1 Le cas Kleber'!$B$13)^5,1))*(1-'1 Le cas Kleber'!$B$12)</f>
        <v/>
      </c>
      <c r="BY8">
        <f>'1 Le cas Kleber'!$B$33</f>
        <v/>
      </c>
      <c r="BZ8">
        <f>0</f>
        <v/>
      </c>
      <c r="CA8">
        <f>MIN(0,BW8+BX8-BY8-BZ8)</f>
        <v/>
      </c>
      <c r="CB8">
        <f>('1 Le cas Kleber'!$B$5*'1 Le cas Kleber'!$B$11*IF('1 Le cas Kleber'!$B$24=1,(1+'1 Le cas Kleber'!$B$13)^6,1))*(1-'1 Le cas Kleber'!$B$12)</f>
        <v/>
      </c>
      <c r="CC8">
        <f>0</f>
        <v/>
      </c>
      <c r="CD8">
        <f>0</f>
        <v/>
      </c>
      <c r="CE8">
        <f>0</f>
        <v/>
      </c>
      <c r="CF8">
        <f>MAX(0,'1 Le cas Kleber'!$B$34+BH8-BI8-BJ8)</f>
        <v/>
      </c>
      <c r="CG8">
        <f>MAX(0,BK8+BL8-BM8-BN8)</f>
        <v/>
      </c>
      <c r="CH8">
        <f>MAX(0,BO8+BP8-BQ8-BR8)</f>
        <v/>
      </c>
      <c r="CI8">
        <f>MAX(0,BS8+BT8-BU8-BV8)</f>
        <v/>
      </c>
      <c r="CJ8">
        <f>MAX(0,BW8+BX8-BY8-BZ8)</f>
        <v/>
      </c>
      <c r="CK8">
        <f>CB8/$D$8-'1 Le cas Kleber'!$B$31+CA8</f>
        <v/>
      </c>
      <c r="CL8">
        <f>CF8+CG8+CH8+CI8+CJ8+CK8</f>
        <v/>
      </c>
      <c r="CM8">
        <f>-'1 Le cas Kleber'!$B$32</f>
        <v/>
      </c>
      <c r="CN8">
        <f>CF8</f>
        <v/>
      </c>
      <c r="CO8">
        <f>CG8</f>
        <v/>
      </c>
      <c r="CP8">
        <f>CH8</f>
        <v/>
      </c>
      <c r="CQ8">
        <f>CI8</f>
        <v/>
      </c>
      <c r="CR8">
        <f>CJ8+CK8</f>
        <v/>
      </c>
    </row>
    <row r="9">
      <c r="A9" s="5" t="n">
        <v>440</v>
      </c>
      <c r="B9" s="16">
        <f>AX9/'1 Le cas Kleber'!$B$32</f>
        <v/>
      </c>
      <c r="C9" s="17">
        <f>IRR(AY9:BD9)</f>
        <v/>
      </c>
      <c r="D9" s="8" t="n">
        <v>0.0513</v>
      </c>
      <c r="E9" s="16">
        <f>CL9/'1 Le cas Kleber'!$B$32</f>
        <v/>
      </c>
      <c r="F9" s="17">
        <f>IRR(CM9:CR9)</f>
        <v/>
      </c>
      <c r="T9">
        <f>('1 Le cas Kleber'!$B$8*'1 Le cas Kleber'!$B$9*(1+'1 Le cas Kleber'!$B$13)^1)*(1-'1 Le cas Kleber'!$B$12)</f>
        <v/>
      </c>
      <c r="U9">
        <f>'1 Le cas Kleber'!$B$33</f>
        <v/>
      </c>
      <c r="V9">
        <f>'1 Le cas Kleber'!$B$8*'1 Le cas Kleber'!$B$10</f>
        <v/>
      </c>
      <c r="W9">
        <f>MIN(0,'1 Le cas Kleber'!$B$34+T9-U9-V9)</f>
        <v/>
      </c>
      <c r="X9">
        <f>('1 Le cas Kleber'!$B$8*'1 Le cas Kleber'!$B$9*(1+'1 Le cas Kleber'!$B$13)^2+'1 Le cas Kleber'!$B$8*$A$9*IF('1 Le cas Kleber'!$B$24=1,(1+'1 Le cas Kleber'!$B$13)^2,1))*(1-'1 Le cas Kleber'!$B$12)</f>
        <v/>
      </c>
      <c r="Y9">
        <f>'1 Le cas Kleber'!$B$33</f>
        <v/>
      </c>
      <c r="Z9">
        <f>0</f>
        <v/>
      </c>
      <c r="AA9">
        <f>MIN(0,W9+X9-Y9-Z9)</f>
        <v/>
      </c>
      <c r="AB9">
        <f>('1 Le cas Kleber'!$B$8*'1 Le cas Kleber'!$B$9*(1+'1 Le cas Kleber'!$B$13)^3+'1 Le cas Kleber'!$B$8*$A$9*IF('1 Le cas Kleber'!$B$24=1,(1+'1 Le cas Kleber'!$B$13)^3,1))*(1-'1 Le cas Kleber'!$B$12)</f>
        <v/>
      </c>
      <c r="AC9">
        <f>'1 Le cas Kleber'!$B$33</f>
        <v/>
      </c>
      <c r="AD9">
        <f>0</f>
        <v/>
      </c>
      <c r="AE9">
        <f>MIN(0,AA9+AB9-AC9-AD9)</f>
        <v/>
      </c>
      <c r="AF9">
        <f>('1 Le cas Kleber'!$B$8*$A$9*IF('1 Le cas Kleber'!$B$24=1,(1+'1 Le cas Kleber'!$B$13)^4,1))*(1-'1 Le cas Kleber'!$B$12)</f>
        <v/>
      </c>
      <c r="AG9">
        <f>'1 Le cas Kleber'!$B$33</f>
        <v/>
      </c>
      <c r="AH9">
        <f>'1 Le cas Kleber'!$B$8*'1 Le cas Kleber'!$B$10</f>
        <v/>
      </c>
      <c r="AI9">
        <f>MIN(0,AE9+AF9-AG9-AH9)</f>
        <v/>
      </c>
      <c r="AJ9">
        <f>('1 Le cas Kleber'!$B$5*$A$9*IF('1 Le cas Kleber'!$B$24=1,(1+'1 Le cas Kleber'!$B$13)^5,1))*(1-'1 Le cas Kleber'!$B$12)</f>
        <v/>
      </c>
      <c r="AK9">
        <f>'1 Le cas Kleber'!$B$33</f>
        <v/>
      </c>
      <c r="AL9">
        <f>0</f>
        <v/>
      </c>
      <c r="AM9">
        <f>MIN(0,AI9+AJ9-AK9-AL9)</f>
        <v/>
      </c>
      <c r="AN9">
        <f>('1 Le cas Kleber'!$B$5*$A$9*IF('1 Le cas Kleber'!$B$24=1,(1+'1 Le cas Kleber'!$B$13)^6,1))*(1-'1 Le cas Kleber'!$B$12)</f>
        <v/>
      </c>
      <c r="AO9">
        <f>0</f>
        <v/>
      </c>
      <c r="AP9">
        <f>0</f>
        <v/>
      </c>
      <c r="AQ9">
        <f>0</f>
        <v/>
      </c>
      <c r="AR9">
        <f>MAX(0,'1 Le cas Kleber'!$B$34+T9-U9-V9)</f>
        <v/>
      </c>
      <c r="AS9">
        <f>MAX(0,W9+X9-Y9-Z9)</f>
        <v/>
      </c>
      <c r="AT9">
        <f>MAX(0,AA9+AB9-AC9-AD9)</f>
        <v/>
      </c>
      <c r="AU9">
        <f>MAX(0,AE9+AF9-AG9-AH9)</f>
        <v/>
      </c>
      <c r="AV9">
        <f>MAX(0,AI9+AJ9-AK9-AL9)</f>
        <v/>
      </c>
      <c r="AW9">
        <f>AN9/'1 Le cas Kleber'!$B$19-'1 Le cas Kleber'!$B$31+AM9</f>
        <v/>
      </c>
      <c r="AX9">
        <f>AR9+AS9+AT9+AU9+AV9+AW9</f>
        <v/>
      </c>
      <c r="AY9">
        <f>-'1 Le cas Kleber'!$B$32</f>
        <v/>
      </c>
      <c r="AZ9">
        <f>AR9</f>
        <v/>
      </c>
      <c r="BA9">
        <f>AS9</f>
        <v/>
      </c>
      <c r="BB9">
        <f>AT9</f>
        <v/>
      </c>
      <c r="BC9">
        <f>AU9</f>
        <v/>
      </c>
      <c r="BD9">
        <f>AV9+AW9</f>
        <v/>
      </c>
      <c r="BH9">
        <f>('1 Le cas Kleber'!$B$8*'1 Le cas Kleber'!$B$9*(1+'1 Le cas Kleber'!$B$13)^1)*(1-'1 Le cas Kleber'!$B$12)</f>
        <v/>
      </c>
      <c r="BI9">
        <f>'1 Le cas Kleber'!$B$33</f>
        <v/>
      </c>
      <c r="BJ9">
        <f>'1 Le cas Kleber'!$B$8*'1 Le cas Kleber'!$B$10</f>
        <v/>
      </c>
      <c r="BK9">
        <f>MIN(0,'1 Le cas Kleber'!$B$34+BH9-BI9-BJ9)</f>
        <v/>
      </c>
      <c r="BL9">
        <f>('1 Le cas Kleber'!$B$8*'1 Le cas Kleber'!$B$9*(1+'1 Le cas Kleber'!$B$13)^2+'1 Le cas Kleber'!$B$8*'1 Le cas Kleber'!$B$11*IF('1 Le cas Kleber'!$B$24=1,(1+'1 Le cas Kleber'!$B$13)^2,1))*(1-'1 Le cas Kleber'!$B$12)</f>
        <v/>
      </c>
      <c r="BM9">
        <f>'1 Le cas Kleber'!$B$33</f>
        <v/>
      </c>
      <c r="BN9">
        <f>0</f>
        <v/>
      </c>
      <c r="BO9">
        <f>MIN(0,BK9+BL9-BM9-BN9)</f>
        <v/>
      </c>
      <c r="BP9">
        <f>('1 Le cas Kleber'!$B$8*'1 Le cas Kleber'!$B$9*(1+'1 Le cas Kleber'!$B$13)^3+'1 Le cas Kleber'!$B$8*'1 Le cas Kleber'!$B$11*IF('1 Le cas Kleber'!$B$24=1,(1+'1 Le cas Kleber'!$B$13)^3,1))*(1-'1 Le cas Kleber'!$B$12)</f>
        <v/>
      </c>
      <c r="BQ9">
        <f>'1 Le cas Kleber'!$B$33</f>
        <v/>
      </c>
      <c r="BR9">
        <f>0</f>
        <v/>
      </c>
      <c r="BS9">
        <f>MIN(0,BO9+BP9-BQ9-BR9)</f>
        <v/>
      </c>
      <c r="BT9">
        <f>('1 Le cas Kleber'!$B$8*'1 Le cas Kleber'!$B$11*IF('1 Le cas Kleber'!$B$24=1,(1+'1 Le cas Kleber'!$B$13)^4,1))*(1-'1 Le cas Kleber'!$B$12)</f>
        <v/>
      </c>
      <c r="BU9">
        <f>'1 Le cas Kleber'!$B$33</f>
        <v/>
      </c>
      <c r="BV9">
        <f>'1 Le cas Kleber'!$B$8*'1 Le cas Kleber'!$B$10</f>
        <v/>
      </c>
      <c r="BW9">
        <f>MIN(0,BS9+BT9-BU9-BV9)</f>
        <v/>
      </c>
      <c r="BX9">
        <f>('1 Le cas Kleber'!$B$5*'1 Le cas Kleber'!$B$11*IF('1 Le cas Kleber'!$B$24=1,(1+'1 Le cas Kleber'!$B$13)^5,1))*(1-'1 Le cas Kleber'!$B$12)</f>
        <v/>
      </c>
      <c r="BY9">
        <f>'1 Le cas Kleber'!$B$33</f>
        <v/>
      </c>
      <c r="BZ9">
        <f>0</f>
        <v/>
      </c>
      <c r="CA9">
        <f>MIN(0,BW9+BX9-BY9-BZ9)</f>
        <v/>
      </c>
      <c r="CB9">
        <f>('1 Le cas Kleber'!$B$5*'1 Le cas Kleber'!$B$11*IF('1 Le cas Kleber'!$B$24=1,(1+'1 Le cas Kleber'!$B$13)^6,1))*(1-'1 Le cas Kleber'!$B$12)</f>
        <v/>
      </c>
      <c r="CC9">
        <f>0</f>
        <v/>
      </c>
      <c r="CD9">
        <f>0</f>
        <v/>
      </c>
      <c r="CE9">
        <f>0</f>
        <v/>
      </c>
      <c r="CF9">
        <f>MAX(0,'1 Le cas Kleber'!$B$34+BH9-BI9-BJ9)</f>
        <v/>
      </c>
      <c r="CG9">
        <f>MAX(0,BK9+BL9-BM9-BN9)</f>
        <v/>
      </c>
      <c r="CH9">
        <f>MAX(0,BO9+BP9-BQ9-BR9)</f>
        <v/>
      </c>
      <c r="CI9">
        <f>MAX(0,BS9+BT9-BU9-BV9)</f>
        <v/>
      </c>
      <c r="CJ9">
        <f>MAX(0,BW9+BX9-BY9-BZ9)</f>
        <v/>
      </c>
      <c r="CK9">
        <f>CB9/$D$9-'1 Le cas Kleber'!$B$31+CA9</f>
        <v/>
      </c>
      <c r="CL9">
        <f>CF9+CG9+CH9+CI9+CJ9+CK9</f>
        <v/>
      </c>
      <c r="CM9">
        <f>-'1 Le cas Kleber'!$B$32</f>
        <v/>
      </c>
      <c r="CN9">
        <f>CF9</f>
        <v/>
      </c>
      <c r="CO9">
        <f>CG9</f>
        <v/>
      </c>
      <c r="CP9">
        <f>CH9</f>
        <v/>
      </c>
      <c r="CQ9">
        <f>CI9</f>
        <v/>
      </c>
      <c r="CR9">
        <f>CJ9+CK9</f>
        <v/>
      </c>
    </row>
    <row r="10">
      <c r="A10" s="5" t="n">
        <v>450</v>
      </c>
      <c r="B10" s="16">
        <f>AX10/'1 Le cas Kleber'!$B$32</f>
        <v/>
      </c>
      <c r="C10" s="17">
        <f>IRR(AY10:BD10)</f>
        <v/>
      </c>
      <c r="D10" s="8" t="n">
        <v>0.055</v>
      </c>
      <c r="E10" s="16">
        <f>CL10/'1 Le cas Kleber'!$B$32</f>
        <v/>
      </c>
      <c r="F10" s="17">
        <f>IRR(CM10:CR10)</f>
        <v/>
      </c>
      <c r="T10">
        <f>('1 Le cas Kleber'!$B$8*'1 Le cas Kleber'!$B$9*(1+'1 Le cas Kleber'!$B$13)^1)*(1-'1 Le cas Kleber'!$B$12)</f>
        <v/>
      </c>
      <c r="U10">
        <f>'1 Le cas Kleber'!$B$33</f>
        <v/>
      </c>
      <c r="V10">
        <f>'1 Le cas Kleber'!$B$8*'1 Le cas Kleber'!$B$10</f>
        <v/>
      </c>
      <c r="W10">
        <f>MIN(0,'1 Le cas Kleber'!$B$34+T10-U10-V10)</f>
        <v/>
      </c>
      <c r="X10">
        <f>('1 Le cas Kleber'!$B$8*'1 Le cas Kleber'!$B$9*(1+'1 Le cas Kleber'!$B$13)^2+'1 Le cas Kleber'!$B$8*$A$10*IF('1 Le cas Kleber'!$B$24=1,(1+'1 Le cas Kleber'!$B$13)^2,1))*(1-'1 Le cas Kleber'!$B$12)</f>
        <v/>
      </c>
      <c r="Y10">
        <f>'1 Le cas Kleber'!$B$33</f>
        <v/>
      </c>
      <c r="Z10">
        <f>0</f>
        <v/>
      </c>
      <c r="AA10">
        <f>MIN(0,W10+X10-Y10-Z10)</f>
        <v/>
      </c>
      <c r="AB10">
        <f>('1 Le cas Kleber'!$B$8*'1 Le cas Kleber'!$B$9*(1+'1 Le cas Kleber'!$B$13)^3+'1 Le cas Kleber'!$B$8*$A$10*IF('1 Le cas Kleber'!$B$24=1,(1+'1 Le cas Kleber'!$B$13)^3,1))*(1-'1 Le cas Kleber'!$B$12)</f>
        <v/>
      </c>
      <c r="AC10">
        <f>'1 Le cas Kleber'!$B$33</f>
        <v/>
      </c>
      <c r="AD10">
        <f>0</f>
        <v/>
      </c>
      <c r="AE10">
        <f>MIN(0,AA10+AB10-AC10-AD10)</f>
        <v/>
      </c>
      <c r="AF10">
        <f>('1 Le cas Kleber'!$B$8*$A$10*IF('1 Le cas Kleber'!$B$24=1,(1+'1 Le cas Kleber'!$B$13)^4,1))*(1-'1 Le cas Kleber'!$B$12)</f>
        <v/>
      </c>
      <c r="AG10">
        <f>'1 Le cas Kleber'!$B$33</f>
        <v/>
      </c>
      <c r="AH10">
        <f>'1 Le cas Kleber'!$B$8*'1 Le cas Kleber'!$B$10</f>
        <v/>
      </c>
      <c r="AI10">
        <f>MIN(0,AE10+AF10-AG10-AH10)</f>
        <v/>
      </c>
      <c r="AJ10">
        <f>('1 Le cas Kleber'!$B$5*$A$10*IF('1 Le cas Kleber'!$B$24=1,(1+'1 Le cas Kleber'!$B$13)^5,1))*(1-'1 Le cas Kleber'!$B$12)</f>
        <v/>
      </c>
      <c r="AK10">
        <f>'1 Le cas Kleber'!$B$33</f>
        <v/>
      </c>
      <c r="AL10">
        <f>0</f>
        <v/>
      </c>
      <c r="AM10">
        <f>MIN(0,AI10+AJ10-AK10-AL10)</f>
        <v/>
      </c>
      <c r="AN10">
        <f>('1 Le cas Kleber'!$B$5*$A$10*IF('1 Le cas Kleber'!$B$24=1,(1+'1 Le cas Kleber'!$B$13)^6,1))*(1-'1 Le cas Kleber'!$B$12)</f>
        <v/>
      </c>
      <c r="AO10">
        <f>0</f>
        <v/>
      </c>
      <c r="AP10">
        <f>0</f>
        <v/>
      </c>
      <c r="AQ10">
        <f>0</f>
        <v/>
      </c>
      <c r="AR10">
        <f>MAX(0,'1 Le cas Kleber'!$B$34+T10-U10-V10)</f>
        <v/>
      </c>
      <c r="AS10">
        <f>MAX(0,W10+X10-Y10-Z10)</f>
        <v/>
      </c>
      <c r="AT10">
        <f>MAX(0,AA10+AB10-AC10-AD10)</f>
        <v/>
      </c>
      <c r="AU10">
        <f>MAX(0,AE10+AF10-AG10-AH10)</f>
        <v/>
      </c>
      <c r="AV10">
        <f>MAX(0,AI10+AJ10-AK10-AL10)</f>
        <v/>
      </c>
      <c r="AW10">
        <f>AN10/'1 Le cas Kleber'!$B$19-'1 Le cas Kleber'!$B$31+AM10</f>
        <v/>
      </c>
      <c r="AX10">
        <f>AR10+AS10+AT10+AU10+AV10+AW10</f>
        <v/>
      </c>
      <c r="AY10">
        <f>-'1 Le cas Kleber'!$B$32</f>
        <v/>
      </c>
      <c r="AZ10">
        <f>AR10</f>
        <v/>
      </c>
      <c r="BA10">
        <f>AS10</f>
        <v/>
      </c>
      <c r="BB10">
        <f>AT10</f>
        <v/>
      </c>
      <c r="BC10">
        <f>AU10</f>
        <v/>
      </c>
      <c r="BD10">
        <f>AV10+AW10</f>
        <v/>
      </c>
      <c r="BH10">
        <f>('1 Le cas Kleber'!$B$8*'1 Le cas Kleber'!$B$9*(1+'1 Le cas Kleber'!$B$13)^1)*(1-'1 Le cas Kleber'!$B$12)</f>
        <v/>
      </c>
      <c r="BI10">
        <f>'1 Le cas Kleber'!$B$33</f>
        <v/>
      </c>
      <c r="BJ10">
        <f>'1 Le cas Kleber'!$B$8*'1 Le cas Kleber'!$B$10</f>
        <v/>
      </c>
      <c r="BK10">
        <f>MIN(0,'1 Le cas Kleber'!$B$34+BH10-BI10-BJ10)</f>
        <v/>
      </c>
      <c r="BL10">
        <f>('1 Le cas Kleber'!$B$8*'1 Le cas Kleber'!$B$9*(1+'1 Le cas Kleber'!$B$13)^2+'1 Le cas Kleber'!$B$8*'1 Le cas Kleber'!$B$11*IF('1 Le cas Kleber'!$B$24=1,(1+'1 Le cas Kleber'!$B$13)^2,1))*(1-'1 Le cas Kleber'!$B$12)</f>
        <v/>
      </c>
      <c r="BM10">
        <f>'1 Le cas Kleber'!$B$33</f>
        <v/>
      </c>
      <c r="BN10">
        <f>0</f>
        <v/>
      </c>
      <c r="BO10">
        <f>MIN(0,BK10+BL10-BM10-BN10)</f>
        <v/>
      </c>
      <c r="BP10">
        <f>('1 Le cas Kleber'!$B$8*'1 Le cas Kleber'!$B$9*(1+'1 Le cas Kleber'!$B$13)^3+'1 Le cas Kleber'!$B$8*'1 Le cas Kleber'!$B$11*IF('1 Le cas Kleber'!$B$24=1,(1+'1 Le cas Kleber'!$B$13)^3,1))*(1-'1 Le cas Kleber'!$B$12)</f>
        <v/>
      </c>
      <c r="BQ10">
        <f>'1 Le cas Kleber'!$B$33</f>
        <v/>
      </c>
      <c r="BR10">
        <f>0</f>
        <v/>
      </c>
      <c r="BS10">
        <f>MIN(0,BO10+BP10-BQ10-BR10)</f>
        <v/>
      </c>
      <c r="BT10">
        <f>('1 Le cas Kleber'!$B$8*'1 Le cas Kleber'!$B$11*IF('1 Le cas Kleber'!$B$24=1,(1+'1 Le cas Kleber'!$B$13)^4,1))*(1-'1 Le cas Kleber'!$B$12)</f>
        <v/>
      </c>
      <c r="BU10">
        <f>'1 Le cas Kleber'!$B$33</f>
        <v/>
      </c>
      <c r="BV10">
        <f>'1 Le cas Kleber'!$B$8*'1 Le cas Kleber'!$B$10</f>
        <v/>
      </c>
      <c r="BW10">
        <f>MIN(0,BS10+BT10-BU10-BV10)</f>
        <v/>
      </c>
      <c r="BX10">
        <f>('1 Le cas Kleber'!$B$5*'1 Le cas Kleber'!$B$11*IF('1 Le cas Kleber'!$B$24=1,(1+'1 Le cas Kleber'!$B$13)^5,1))*(1-'1 Le cas Kleber'!$B$12)</f>
        <v/>
      </c>
      <c r="BY10">
        <f>'1 Le cas Kleber'!$B$33</f>
        <v/>
      </c>
      <c r="BZ10">
        <f>0</f>
        <v/>
      </c>
      <c r="CA10">
        <f>MIN(0,BW10+BX10-BY10-BZ10)</f>
        <v/>
      </c>
      <c r="CB10">
        <f>('1 Le cas Kleber'!$B$5*'1 Le cas Kleber'!$B$11*IF('1 Le cas Kleber'!$B$24=1,(1+'1 Le cas Kleber'!$B$13)^6,1))*(1-'1 Le cas Kleber'!$B$12)</f>
        <v/>
      </c>
      <c r="CC10">
        <f>0</f>
        <v/>
      </c>
      <c r="CD10">
        <f>0</f>
        <v/>
      </c>
      <c r="CE10">
        <f>0</f>
        <v/>
      </c>
      <c r="CF10">
        <f>MAX(0,'1 Le cas Kleber'!$B$34+BH10-BI10-BJ10)</f>
        <v/>
      </c>
      <c r="CG10">
        <f>MAX(0,BK10+BL10-BM10-BN10)</f>
        <v/>
      </c>
      <c r="CH10">
        <f>MAX(0,BO10+BP10-BQ10-BR10)</f>
        <v/>
      </c>
      <c r="CI10">
        <f>MAX(0,BS10+BT10-BU10-BV10)</f>
        <v/>
      </c>
      <c r="CJ10">
        <f>MAX(0,BW10+BX10-BY10-BZ10)</f>
        <v/>
      </c>
      <c r="CK10">
        <f>CB10/$D$10-'1 Le cas Kleber'!$B$31+CA10</f>
        <v/>
      </c>
      <c r="CL10">
        <f>CF10+CG10+CH10+CI10+CJ10+CK10</f>
        <v/>
      </c>
      <c r="CM10">
        <f>-'1 Le cas Kleber'!$B$32</f>
        <v/>
      </c>
      <c r="CN10">
        <f>CF10</f>
        <v/>
      </c>
      <c r="CO10">
        <f>CG10</f>
        <v/>
      </c>
      <c r="CP10">
        <f>CH10</f>
        <v/>
      </c>
      <c r="CQ10">
        <f>CI10</f>
        <v/>
      </c>
      <c r="CR10">
        <f>CJ10+CK10</f>
        <v/>
      </c>
    </row>
    <row r="11">
      <c r="A11" s="5" t="n">
        <v>458</v>
      </c>
      <c r="B11" s="16">
        <f>AX11/'1 Le cas Kleber'!$B$32</f>
        <v/>
      </c>
      <c r="C11" s="17">
        <f>IRR(AY11:BD11)</f>
        <v/>
      </c>
      <c r="D11" s="8" t="n">
        <v>0.0584</v>
      </c>
      <c r="E11" s="16">
        <f>CL11/'1 Le cas Kleber'!$B$32</f>
        <v/>
      </c>
      <c r="F11" s="17">
        <f>IRR(CM11:CR11)</f>
        <v/>
      </c>
      <c r="T11">
        <f>('1 Le cas Kleber'!$B$8*'1 Le cas Kleber'!$B$9*(1+'1 Le cas Kleber'!$B$13)^1)*(1-'1 Le cas Kleber'!$B$12)</f>
        <v/>
      </c>
      <c r="U11">
        <f>'1 Le cas Kleber'!$B$33</f>
        <v/>
      </c>
      <c r="V11">
        <f>'1 Le cas Kleber'!$B$8*'1 Le cas Kleber'!$B$10</f>
        <v/>
      </c>
      <c r="W11">
        <f>MIN(0,'1 Le cas Kleber'!$B$34+T11-U11-V11)</f>
        <v/>
      </c>
      <c r="X11">
        <f>('1 Le cas Kleber'!$B$8*'1 Le cas Kleber'!$B$9*(1+'1 Le cas Kleber'!$B$13)^2+'1 Le cas Kleber'!$B$8*$A$11*IF('1 Le cas Kleber'!$B$24=1,(1+'1 Le cas Kleber'!$B$13)^2,1))*(1-'1 Le cas Kleber'!$B$12)</f>
        <v/>
      </c>
      <c r="Y11">
        <f>'1 Le cas Kleber'!$B$33</f>
        <v/>
      </c>
      <c r="Z11">
        <f>0</f>
        <v/>
      </c>
      <c r="AA11">
        <f>MIN(0,W11+X11-Y11-Z11)</f>
        <v/>
      </c>
      <c r="AB11">
        <f>('1 Le cas Kleber'!$B$8*'1 Le cas Kleber'!$B$9*(1+'1 Le cas Kleber'!$B$13)^3+'1 Le cas Kleber'!$B$8*$A$11*IF('1 Le cas Kleber'!$B$24=1,(1+'1 Le cas Kleber'!$B$13)^3,1))*(1-'1 Le cas Kleber'!$B$12)</f>
        <v/>
      </c>
      <c r="AC11">
        <f>'1 Le cas Kleber'!$B$33</f>
        <v/>
      </c>
      <c r="AD11">
        <f>0</f>
        <v/>
      </c>
      <c r="AE11">
        <f>MIN(0,AA11+AB11-AC11-AD11)</f>
        <v/>
      </c>
      <c r="AF11">
        <f>('1 Le cas Kleber'!$B$8*$A$11*IF('1 Le cas Kleber'!$B$24=1,(1+'1 Le cas Kleber'!$B$13)^4,1))*(1-'1 Le cas Kleber'!$B$12)</f>
        <v/>
      </c>
      <c r="AG11">
        <f>'1 Le cas Kleber'!$B$33</f>
        <v/>
      </c>
      <c r="AH11">
        <f>'1 Le cas Kleber'!$B$8*'1 Le cas Kleber'!$B$10</f>
        <v/>
      </c>
      <c r="AI11">
        <f>MIN(0,AE11+AF11-AG11-AH11)</f>
        <v/>
      </c>
      <c r="AJ11">
        <f>('1 Le cas Kleber'!$B$5*$A$11*IF('1 Le cas Kleber'!$B$24=1,(1+'1 Le cas Kleber'!$B$13)^5,1))*(1-'1 Le cas Kleber'!$B$12)</f>
        <v/>
      </c>
      <c r="AK11">
        <f>'1 Le cas Kleber'!$B$33</f>
        <v/>
      </c>
      <c r="AL11">
        <f>0</f>
        <v/>
      </c>
      <c r="AM11">
        <f>MIN(0,AI11+AJ11-AK11-AL11)</f>
        <v/>
      </c>
      <c r="AN11">
        <f>('1 Le cas Kleber'!$B$5*$A$11*IF('1 Le cas Kleber'!$B$24=1,(1+'1 Le cas Kleber'!$B$13)^6,1))*(1-'1 Le cas Kleber'!$B$12)</f>
        <v/>
      </c>
      <c r="AO11">
        <f>0</f>
        <v/>
      </c>
      <c r="AP11">
        <f>0</f>
        <v/>
      </c>
      <c r="AQ11">
        <f>0</f>
        <v/>
      </c>
      <c r="AR11">
        <f>MAX(0,'1 Le cas Kleber'!$B$34+T11-U11-V11)</f>
        <v/>
      </c>
      <c r="AS11">
        <f>MAX(0,W11+X11-Y11-Z11)</f>
        <v/>
      </c>
      <c r="AT11">
        <f>MAX(0,AA11+AB11-AC11-AD11)</f>
        <v/>
      </c>
      <c r="AU11">
        <f>MAX(0,AE11+AF11-AG11-AH11)</f>
        <v/>
      </c>
      <c r="AV11">
        <f>MAX(0,AI11+AJ11-AK11-AL11)</f>
        <v/>
      </c>
      <c r="AW11">
        <f>AN11/'1 Le cas Kleber'!$B$19-'1 Le cas Kleber'!$B$31+AM11</f>
        <v/>
      </c>
      <c r="AX11">
        <f>AR11+AS11+AT11+AU11+AV11+AW11</f>
        <v/>
      </c>
      <c r="AY11">
        <f>-'1 Le cas Kleber'!$B$32</f>
        <v/>
      </c>
      <c r="AZ11">
        <f>AR11</f>
        <v/>
      </c>
      <c r="BA11">
        <f>AS11</f>
        <v/>
      </c>
      <c r="BB11">
        <f>AT11</f>
        <v/>
      </c>
      <c r="BC11">
        <f>AU11</f>
        <v/>
      </c>
      <c r="BD11">
        <f>AV11+AW11</f>
        <v/>
      </c>
      <c r="BH11">
        <f>('1 Le cas Kleber'!$B$8*'1 Le cas Kleber'!$B$9*(1+'1 Le cas Kleber'!$B$13)^1)*(1-'1 Le cas Kleber'!$B$12)</f>
        <v/>
      </c>
      <c r="BI11">
        <f>'1 Le cas Kleber'!$B$33</f>
        <v/>
      </c>
      <c r="BJ11">
        <f>'1 Le cas Kleber'!$B$8*'1 Le cas Kleber'!$B$10</f>
        <v/>
      </c>
      <c r="BK11">
        <f>MIN(0,'1 Le cas Kleber'!$B$34+BH11-BI11-BJ11)</f>
        <v/>
      </c>
      <c r="BL11">
        <f>('1 Le cas Kleber'!$B$8*'1 Le cas Kleber'!$B$9*(1+'1 Le cas Kleber'!$B$13)^2+'1 Le cas Kleber'!$B$8*'1 Le cas Kleber'!$B$11*IF('1 Le cas Kleber'!$B$24=1,(1+'1 Le cas Kleber'!$B$13)^2,1))*(1-'1 Le cas Kleber'!$B$12)</f>
        <v/>
      </c>
      <c r="BM11">
        <f>'1 Le cas Kleber'!$B$33</f>
        <v/>
      </c>
      <c r="BN11">
        <f>0</f>
        <v/>
      </c>
      <c r="BO11">
        <f>MIN(0,BK11+BL11-BM11-BN11)</f>
        <v/>
      </c>
      <c r="BP11">
        <f>('1 Le cas Kleber'!$B$8*'1 Le cas Kleber'!$B$9*(1+'1 Le cas Kleber'!$B$13)^3+'1 Le cas Kleber'!$B$8*'1 Le cas Kleber'!$B$11*IF('1 Le cas Kleber'!$B$24=1,(1+'1 Le cas Kleber'!$B$13)^3,1))*(1-'1 Le cas Kleber'!$B$12)</f>
        <v/>
      </c>
      <c r="BQ11">
        <f>'1 Le cas Kleber'!$B$33</f>
        <v/>
      </c>
      <c r="BR11">
        <f>0</f>
        <v/>
      </c>
      <c r="BS11">
        <f>MIN(0,BO11+BP11-BQ11-BR11)</f>
        <v/>
      </c>
      <c r="BT11">
        <f>('1 Le cas Kleber'!$B$8*'1 Le cas Kleber'!$B$11*IF('1 Le cas Kleber'!$B$24=1,(1+'1 Le cas Kleber'!$B$13)^4,1))*(1-'1 Le cas Kleber'!$B$12)</f>
        <v/>
      </c>
      <c r="BU11">
        <f>'1 Le cas Kleber'!$B$33</f>
        <v/>
      </c>
      <c r="BV11">
        <f>'1 Le cas Kleber'!$B$8*'1 Le cas Kleber'!$B$10</f>
        <v/>
      </c>
      <c r="BW11">
        <f>MIN(0,BS11+BT11-BU11-BV11)</f>
        <v/>
      </c>
      <c r="BX11">
        <f>('1 Le cas Kleber'!$B$5*'1 Le cas Kleber'!$B$11*IF('1 Le cas Kleber'!$B$24=1,(1+'1 Le cas Kleber'!$B$13)^5,1))*(1-'1 Le cas Kleber'!$B$12)</f>
        <v/>
      </c>
      <c r="BY11">
        <f>'1 Le cas Kleber'!$B$33</f>
        <v/>
      </c>
      <c r="BZ11">
        <f>0</f>
        <v/>
      </c>
      <c r="CA11">
        <f>MIN(0,BW11+BX11-BY11-BZ11)</f>
        <v/>
      </c>
      <c r="CB11">
        <f>('1 Le cas Kleber'!$B$5*'1 Le cas Kleber'!$B$11*IF('1 Le cas Kleber'!$B$24=1,(1+'1 Le cas Kleber'!$B$13)^6,1))*(1-'1 Le cas Kleber'!$B$12)</f>
        <v/>
      </c>
      <c r="CC11">
        <f>0</f>
        <v/>
      </c>
      <c r="CD11">
        <f>0</f>
        <v/>
      </c>
      <c r="CE11">
        <f>0</f>
        <v/>
      </c>
      <c r="CF11">
        <f>MAX(0,'1 Le cas Kleber'!$B$34+BH11-BI11-BJ11)</f>
        <v/>
      </c>
      <c r="CG11">
        <f>MAX(0,BK11+BL11-BM11-BN11)</f>
        <v/>
      </c>
      <c r="CH11">
        <f>MAX(0,BO11+BP11-BQ11-BR11)</f>
        <v/>
      </c>
      <c r="CI11">
        <f>MAX(0,BS11+BT11-BU11-BV11)</f>
        <v/>
      </c>
      <c r="CJ11">
        <f>MAX(0,BW11+BX11-BY11-BZ11)</f>
        <v/>
      </c>
      <c r="CK11">
        <f>CB11/$D$11-'1 Le cas Kleber'!$B$31+CA11</f>
        <v/>
      </c>
      <c r="CL11">
        <f>CF11+CG11+CH11+CI11+CJ11+CK11</f>
        <v/>
      </c>
      <c r="CM11">
        <f>-'1 Le cas Kleber'!$B$32</f>
        <v/>
      </c>
      <c r="CN11">
        <f>CF11</f>
        <v/>
      </c>
      <c r="CO11">
        <f>CG11</f>
        <v/>
      </c>
      <c r="CP11">
        <f>CH11</f>
        <v/>
      </c>
      <c r="CQ11">
        <f>CI11</f>
        <v/>
      </c>
      <c r="CR11">
        <f>CJ11+CK11</f>
        <v/>
      </c>
    </row>
    <row r="12">
      <c r="A12" s="5" t="n">
        <v>470</v>
      </c>
      <c r="B12" s="16">
        <f>AX12/'1 Le cas Kleber'!$B$32</f>
        <v/>
      </c>
      <c r="C12" s="17">
        <f>IRR(AY12:BD12)</f>
        <v/>
      </c>
      <c r="D12" s="8" t="n">
        <v>0.06</v>
      </c>
      <c r="E12" s="16">
        <f>CL12/'1 Le cas Kleber'!$B$32</f>
        <v/>
      </c>
      <c r="F12" s="17">
        <f>IRR(CM12:CR12)</f>
        <v/>
      </c>
      <c r="T12">
        <f>('1 Le cas Kleber'!$B$8*'1 Le cas Kleber'!$B$9*(1+'1 Le cas Kleber'!$B$13)^1)*(1-'1 Le cas Kleber'!$B$12)</f>
        <v/>
      </c>
      <c r="U12">
        <f>'1 Le cas Kleber'!$B$33</f>
        <v/>
      </c>
      <c r="V12">
        <f>'1 Le cas Kleber'!$B$8*'1 Le cas Kleber'!$B$10</f>
        <v/>
      </c>
      <c r="W12">
        <f>MIN(0,'1 Le cas Kleber'!$B$34+T12-U12-V12)</f>
        <v/>
      </c>
      <c r="X12">
        <f>('1 Le cas Kleber'!$B$8*'1 Le cas Kleber'!$B$9*(1+'1 Le cas Kleber'!$B$13)^2+'1 Le cas Kleber'!$B$8*$A$12*IF('1 Le cas Kleber'!$B$24=1,(1+'1 Le cas Kleber'!$B$13)^2,1))*(1-'1 Le cas Kleber'!$B$12)</f>
        <v/>
      </c>
      <c r="Y12">
        <f>'1 Le cas Kleber'!$B$33</f>
        <v/>
      </c>
      <c r="Z12">
        <f>0</f>
        <v/>
      </c>
      <c r="AA12">
        <f>MIN(0,W12+X12-Y12-Z12)</f>
        <v/>
      </c>
      <c r="AB12">
        <f>('1 Le cas Kleber'!$B$8*'1 Le cas Kleber'!$B$9*(1+'1 Le cas Kleber'!$B$13)^3+'1 Le cas Kleber'!$B$8*$A$12*IF('1 Le cas Kleber'!$B$24=1,(1+'1 Le cas Kleber'!$B$13)^3,1))*(1-'1 Le cas Kleber'!$B$12)</f>
        <v/>
      </c>
      <c r="AC12">
        <f>'1 Le cas Kleber'!$B$33</f>
        <v/>
      </c>
      <c r="AD12">
        <f>0</f>
        <v/>
      </c>
      <c r="AE12">
        <f>MIN(0,AA12+AB12-AC12-AD12)</f>
        <v/>
      </c>
      <c r="AF12">
        <f>('1 Le cas Kleber'!$B$8*$A$12*IF('1 Le cas Kleber'!$B$24=1,(1+'1 Le cas Kleber'!$B$13)^4,1))*(1-'1 Le cas Kleber'!$B$12)</f>
        <v/>
      </c>
      <c r="AG12">
        <f>'1 Le cas Kleber'!$B$33</f>
        <v/>
      </c>
      <c r="AH12">
        <f>'1 Le cas Kleber'!$B$8*'1 Le cas Kleber'!$B$10</f>
        <v/>
      </c>
      <c r="AI12">
        <f>MIN(0,AE12+AF12-AG12-AH12)</f>
        <v/>
      </c>
      <c r="AJ12">
        <f>('1 Le cas Kleber'!$B$5*$A$12*IF('1 Le cas Kleber'!$B$24=1,(1+'1 Le cas Kleber'!$B$13)^5,1))*(1-'1 Le cas Kleber'!$B$12)</f>
        <v/>
      </c>
      <c r="AK12">
        <f>'1 Le cas Kleber'!$B$33</f>
        <v/>
      </c>
      <c r="AL12">
        <f>0</f>
        <v/>
      </c>
      <c r="AM12">
        <f>MIN(0,AI12+AJ12-AK12-AL12)</f>
        <v/>
      </c>
      <c r="AN12">
        <f>('1 Le cas Kleber'!$B$5*$A$12*IF('1 Le cas Kleber'!$B$24=1,(1+'1 Le cas Kleber'!$B$13)^6,1))*(1-'1 Le cas Kleber'!$B$12)</f>
        <v/>
      </c>
      <c r="AO12">
        <f>0</f>
        <v/>
      </c>
      <c r="AP12">
        <f>0</f>
        <v/>
      </c>
      <c r="AQ12">
        <f>0</f>
        <v/>
      </c>
      <c r="AR12">
        <f>MAX(0,'1 Le cas Kleber'!$B$34+T12-U12-V12)</f>
        <v/>
      </c>
      <c r="AS12">
        <f>MAX(0,W12+X12-Y12-Z12)</f>
        <v/>
      </c>
      <c r="AT12">
        <f>MAX(0,AA12+AB12-AC12-AD12)</f>
        <v/>
      </c>
      <c r="AU12">
        <f>MAX(0,AE12+AF12-AG12-AH12)</f>
        <v/>
      </c>
      <c r="AV12">
        <f>MAX(0,AI12+AJ12-AK12-AL12)</f>
        <v/>
      </c>
      <c r="AW12">
        <f>AN12/'1 Le cas Kleber'!$B$19-'1 Le cas Kleber'!$B$31+AM12</f>
        <v/>
      </c>
      <c r="AX12">
        <f>AR12+AS12+AT12+AU12+AV12+AW12</f>
        <v/>
      </c>
      <c r="AY12">
        <f>-'1 Le cas Kleber'!$B$32</f>
        <v/>
      </c>
      <c r="AZ12">
        <f>AR12</f>
        <v/>
      </c>
      <c r="BA12">
        <f>AS12</f>
        <v/>
      </c>
      <c r="BB12">
        <f>AT12</f>
        <v/>
      </c>
      <c r="BC12">
        <f>AU12</f>
        <v/>
      </c>
      <c r="BD12">
        <f>AV12+AW12</f>
        <v/>
      </c>
      <c r="BH12">
        <f>('1 Le cas Kleber'!$B$8*'1 Le cas Kleber'!$B$9*(1+'1 Le cas Kleber'!$B$13)^1)*(1-'1 Le cas Kleber'!$B$12)</f>
        <v/>
      </c>
      <c r="BI12">
        <f>'1 Le cas Kleber'!$B$33</f>
        <v/>
      </c>
      <c r="BJ12">
        <f>'1 Le cas Kleber'!$B$8*'1 Le cas Kleber'!$B$10</f>
        <v/>
      </c>
      <c r="BK12">
        <f>MIN(0,'1 Le cas Kleber'!$B$34+BH12-BI12-BJ12)</f>
        <v/>
      </c>
      <c r="BL12">
        <f>('1 Le cas Kleber'!$B$8*'1 Le cas Kleber'!$B$9*(1+'1 Le cas Kleber'!$B$13)^2+'1 Le cas Kleber'!$B$8*'1 Le cas Kleber'!$B$11*IF('1 Le cas Kleber'!$B$24=1,(1+'1 Le cas Kleber'!$B$13)^2,1))*(1-'1 Le cas Kleber'!$B$12)</f>
        <v/>
      </c>
      <c r="BM12">
        <f>'1 Le cas Kleber'!$B$33</f>
        <v/>
      </c>
      <c r="BN12">
        <f>0</f>
        <v/>
      </c>
      <c r="BO12">
        <f>MIN(0,BK12+BL12-BM12-BN12)</f>
        <v/>
      </c>
      <c r="BP12">
        <f>('1 Le cas Kleber'!$B$8*'1 Le cas Kleber'!$B$9*(1+'1 Le cas Kleber'!$B$13)^3+'1 Le cas Kleber'!$B$8*'1 Le cas Kleber'!$B$11*IF('1 Le cas Kleber'!$B$24=1,(1+'1 Le cas Kleber'!$B$13)^3,1))*(1-'1 Le cas Kleber'!$B$12)</f>
        <v/>
      </c>
      <c r="BQ12">
        <f>'1 Le cas Kleber'!$B$33</f>
        <v/>
      </c>
      <c r="BR12">
        <f>0</f>
        <v/>
      </c>
      <c r="BS12">
        <f>MIN(0,BO12+BP12-BQ12-BR12)</f>
        <v/>
      </c>
      <c r="BT12">
        <f>('1 Le cas Kleber'!$B$8*'1 Le cas Kleber'!$B$11*IF('1 Le cas Kleber'!$B$24=1,(1+'1 Le cas Kleber'!$B$13)^4,1))*(1-'1 Le cas Kleber'!$B$12)</f>
        <v/>
      </c>
      <c r="BU12">
        <f>'1 Le cas Kleber'!$B$33</f>
        <v/>
      </c>
      <c r="BV12">
        <f>'1 Le cas Kleber'!$B$8*'1 Le cas Kleber'!$B$10</f>
        <v/>
      </c>
      <c r="BW12">
        <f>MIN(0,BS12+BT12-BU12-BV12)</f>
        <v/>
      </c>
      <c r="BX12">
        <f>('1 Le cas Kleber'!$B$5*'1 Le cas Kleber'!$B$11*IF('1 Le cas Kleber'!$B$24=1,(1+'1 Le cas Kleber'!$B$13)^5,1))*(1-'1 Le cas Kleber'!$B$12)</f>
        <v/>
      </c>
      <c r="BY12">
        <f>'1 Le cas Kleber'!$B$33</f>
        <v/>
      </c>
      <c r="BZ12">
        <f>0</f>
        <v/>
      </c>
      <c r="CA12">
        <f>MIN(0,BW12+BX12-BY12-BZ12)</f>
        <v/>
      </c>
      <c r="CB12">
        <f>('1 Le cas Kleber'!$B$5*'1 Le cas Kleber'!$B$11*IF('1 Le cas Kleber'!$B$24=1,(1+'1 Le cas Kleber'!$B$13)^6,1))*(1-'1 Le cas Kleber'!$B$12)</f>
        <v/>
      </c>
      <c r="CC12">
        <f>0</f>
        <v/>
      </c>
      <c r="CD12">
        <f>0</f>
        <v/>
      </c>
      <c r="CE12">
        <f>0</f>
        <v/>
      </c>
      <c r="CF12">
        <f>MAX(0,'1 Le cas Kleber'!$B$34+BH12-BI12-BJ12)</f>
        <v/>
      </c>
      <c r="CG12">
        <f>MAX(0,BK12+BL12-BM12-BN12)</f>
        <v/>
      </c>
      <c r="CH12">
        <f>MAX(0,BO12+BP12-BQ12-BR12)</f>
        <v/>
      </c>
      <c r="CI12">
        <f>MAX(0,BS12+BT12-BU12-BV12)</f>
        <v/>
      </c>
      <c r="CJ12">
        <f>MAX(0,BW12+BX12-BY12-BZ12)</f>
        <v/>
      </c>
      <c r="CK12">
        <f>CB12/$D$12-'1 Le cas Kleber'!$B$31+CA12</f>
        <v/>
      </c>
      <c r="CL12">
        <f>CF12+CG12+CH12+CI12+CJ12+CK12</f>
        <v/>
      </c>
      <c r="CM12">
        <f>-'1 Le cas Kleber'!$B$32</f>
        <v/>
      </c>
      <c r="CN12">
        <f>CF12</f>
        <v/>
      </c>
      <c r="CO12">
        <f>CG12</f>
        <v/>
      </c>
      <c r="CP12">
        <f>CH12</f>
        <v/>
      </c>
      <c r="CQ12">
        <f>CI12</f>
        <v/>
      </c>
      <c r="CR12">
        <f>CJ12+CK12</f>
        <v/>
      </c>
    </row>
    <row r="13">
      <c r="A13" s="5" t="n">
        <v>500</v>
      </c>
      <c r="B13" s="16">
        <f>AX13/'1 Le cas Kleber'!$B$32</f>
        <v/>
      </c>
      <c r="C13" s="17">
        <f>IRR(AY13:BD13)</f>
        <v/>
      </c>
      <c r="D13" s="8" t="n">
        <v>0.065</v>
      </c>
      <c r="E13" s="16">
        <f>CL13/'1 Le cas Kleber'!$B$32</f>
        <v/>
      </c>
      <c r="F13" s="17">
        <f>IRR(CM13:CR13)</f>
        <v/>
      </c>
      <c r="T13">
        <f>('1 Le cas Kleber'!$B$8*'1 Le cas Kleber'!$B$9*(1+'1 Le cas Kleber'!$B$13)^1)*(1-'1 Le cas Kleber'!$B$12)</f>
        <v/>
      </c>
      <c r="U13">
        <f>'1 Le cas Kleber'!$B$33</f>
        <v/>
      </c>
      <c r="V13">
        <f>'1 Le cas Kleber'!$B$8*'1 Le cas Kleber'!$B$10</f>
        <v/>
      </c>
      <c r="W13">
        <f>MIN(0,'1 Le cas Kleber'!$B$34+T13-U13-V13)</f>
        <v/>
      </c>
      <c r="X13">
        <f>('1 Le cas Kleber'!$B$8*'1 Le cas Kleber'!$B$9*(1+'1 Le cas Kleber'!$B$13)^2+'1 Le cas Kleber'!$B$8*$A$13*IF('1 Le cas Kleber'!$B$24=1,(1+'1 Le cas Kleber'!$B$13)^2,1))*(1-'1 Le cas Kleber'!$B$12)</f>
        <v/>
      </c>
      <c r="Y13">
        <f>'1 Le cas Kleber'!$B$33</f>
        <v/>
      </c>
      <c r="Z13">
        <f>0</f>
        <v/>
      </c>
      <c r="AA13">
        <f>MIN(0,W13+X13-Y13-Z13)</f>
        <v/>
      </c>
      <c r="AB13">
        <f>('1 Le cas Kleber'!$B$8*'1 Le cas Kleber'!$B$9*(1+'1 Le cas Kleber'!$B$13)^3+'1 Le cas Kleber'!$B$8*$A$13*IF('1 Le cas Kleber'!$B$24=1,(1+'1 Le cas Kleber'!$B$13)^3,1))*(1-'1 Le cas Kleber'!$B$12)</f>
        <v/>
      </c>
      <c r="AC13">
        <f>'1 Le cas Kleber'!$B$33</f>
        <v/>
      </c>
      <c r="AD13">
        <f>0</f>
        <v/>
      </c>
      <c r="AE13">
        <f>MIN(0,AA13+AB13-AC13-AD13)</f>
        <v/>
      </c>
      <c r="AF13">
        <f>('1 Le cas Kleber'!$B$8*$A$13*IF('1 Le cas Kleber'!$B$24=1,(1+'1 Le cas Kleber'!$B$13)^4,1))*(1-'1 Le cas Kleber'!$B$12)</f>
        <v/>
      </c>
      <c r="AG13">
        <f>'1 Le cas Kleber'!$B$33</f>
        <v/>
      </c>
      <c r="AH13">
        <f>'1 Le cas Kleber'!$B$8*'1 Le cas Kleber'!$B$10</f>
        <v/>
      </c>
      <c r="AI13">
        <f>MIN(0,AE13+AF13-AG13-AH13)</f>
        <v/>
      </c>
      <c r="AJ13">
        <f>('1 Le cas Kleber'!$B$5*$A$13*IF('1 Le cas Kleber'!$B$24=1,(1+'1 Le cas Kleber'!$B$13)^5,1))*(1-'1 Le cas Kleber'!$B$12)</f>
        <v/>
      </c>
      <c r="AK13">
        <f>'1 Le cas Kleber'!$B$33</f>
        <v/>
      </c>
      <c r="AL13">
        <f>0</f>
        <v/>
      </c>
      <c r="AM13">
        <f>MIN(0,AI13+AJ13-AK13-AL13)</f>
        <v/>
      </c>
      <c r="AN13">
        <f>('1 Le cas Kleber'!$B$5*$A$13*IF('1 Le cas Kleber'!$B$24=1,(1+'1 Le cas Kleber'!$B$13)^6,1))*(1-'1 Le cas Kleber'!$B$12)</f>
        <v/>
      </c>
      <c r="AO13">
        <f>0</f>
        <v/>
      </c>
      <c r="AP13">
        <f>0</f>
        <v/>
      </c>
      <c r="AQ13">
        <f>0</f>
        <v/>
      </c>
      <c r="AR13">
        <f>MAX(0,'1 Le cas Kleber'!$B$34+T13-U13-V13)</f>
        <v/>
      </c>
      <c r="AS13">
        <f>MAX(0,W13+X13-Y13-Z13)</f>
        <v/>
      </c>
      <c r="AT13">
        <f>MAX(0,AA13+AB13-AC13-AD13)</f>
        <v/>
      </c>
      <c r="AU13">
        <f>MAX(0,AE13+AF13-AG13-AH13)</f>
        <v/>
      </c>
      <c r="AV13">
        <f>MAX(0,AI13+AJ13-AK13-AL13)</f>
        <v/>
      </c>
      <c r="AW13">
        <f>AN13/'1 Le cas Kleber'!$B$19-'1 Le cas Kleber'!$B$31+AM13</f>
        <v/>
      </c>
      <c r="AX13">
        <f>AR13+AS13+AT13+AU13+AV13+AW13</f>
        <v/>
      </c>
      <c r="AY13">
        <f>-'1 Le cas Kleber'!$B$32</f>
        <v/>
      </c>
      <c r="AZ13">
        <f>AR13</f>
        <v/>
      </c>
      <c r="BA13">
        <f>AS13</f>
        <v/>
      </c>
      <c r="BB13">
        <f>AT13</f>
        <v/>
      </c>
      <c r="BC13">
        <f>AU13</f>
        <v/>
      </c>
      <c r="BD13">
        <f>AV13+AW13</f>
        <v/>
      </c>
      <c r="BH13">
        <f>('1 Le cas Kleber'!$B$8*'1 Le cas Kleber'!$B$9*(1+'1 Le cas Kleber'!$B$13)^1)*(1-'1 Le cas Kleber'!$B$12)</f>
        <v/>
      </c>
      <c r="BI13">
        <f>'1 Le cas Kleber'!$B$33</f>
        <v/>
      </c>
      <c r="BJ13">
        <f>'1 Le cas Kleber'!$B$8*'1 Le cas Kleber'!$B$10</f>
        <v/>
      </c>
      <c r="BK13">
        <f>MIN(0,'1 Le cas Kleber'!$B$34+BH13-BI13-BJ13)</f>
        <v/>
      </c>
      <c r="BL13">
        <f>('1 Le cas Kleber'!$B$8*'1 Le cas Kleber'!$B$9*(1+'1 Le cas Kleber'!$B$13)^2+'1 Le cas Kleber'!$B$8*'1 Le cas Kleber'!$B$11*IF('1 Le cas Kleber'!$B$24=1,(1+'1 Le cas Kleber'!$B$13)^2,1))*(1-'1 Le cas Kleber'!$B$12)</f>
        <v/>
      </c>
      <c r="BM13">
        <f>'1 Le cas Kleber'!$B$33</f>
        <v/>
      </c>
      <c r="BN13">
        <f>0</f>
        <v/>
      </c>
      <c r="BO13">
        <f>MIN(0,BK13+BL13-BM13-BN13)</f>
        <v/>
      </c>
      <c r="BP13">
        <f>('1 Le cas Kleber'!$B$8*'1 Le cas Kleber'!$B$9*(1+'1 Le cas Kleber'!$B$13)^3+'1 Le cas Kleber'!$B$8*'1 Le cas Kleber'!$B$11*IF('1 Le cas Kleber'!$B$24=1,(1+'1 Le cas Kleber'!$B$13)^3,1))*(1-'1 Le cas Kleber'!$B$12)</f>
        <v/>
      </c>
      <c r="BQ13">
        <f>'1 Le cas Kleber'!$B$33</f>
        <v/>
      </c>
      <c r="BR13">
        <f>0</f>
        <v/>
      </c>
      <c r="BS13">
        <f>MIN(0,BO13+BP13-BQ13-BR13)</f>
        <v/>
      </c>
      <c r="BT13">
        <f>('1 Le cas Kleber'!$B$8*'1 Le cas Kleber'!$B$11*IF('1 Le cas Kleber'!$B$24=1,(1+'1 Le cas Kleber'!$B$13)^4,1))*(1-'1 Le cas Kleber'!$B$12)</f>
        <v/>
      </c>
      <c r="BU13">
        <f>'1 Le cas Kleber'!$B$33</f>
        <v/>
      </c>
      <c r="BV13">
        <f>'1 Le cas Kleber'!$B$8*'1 Le cas Kleber'!$B$10</f>
        <v/>
      </c>
      <c r="BW13">
        <f>MIN(0,BS13+BT13-BU13-BV13)</f>
        <v/>
      </c>
      <c r="BX13">
        <f>('1 Le cas Kleber'!$B$5*'1 Le cas Kleber'!$B$11*IF('1 Le cas Kleber'!$B$24=1,(1+'1 Le cas Kleber'!$B$13)^5,1))*(1-'1 Le cas Kleber'!$B$12)</f>
        <v/>
      </c>
      <c r="BY13">
        <f>'1 Le cas Kleber'!$B$33</f>
        <v/>
      </c>
      <c r="BZ13">
        <f>0</f>
        <v/>
      </c>
      <c r="CA13">
        <f>MIN(0,BW13+BX13-BY13-BZ13)</f>
        <v/>
      </c>
      <c r="CB13">
        <f>('1 Le cas Kleber'!$B$5*'1 Le cas Kleber'!$B$11*IF('1 Le cas Kleber'!$B$24=1,(1+'1 Le cas Kleber'!$B$13)^6,1))*(1-'1 Le cas Kleber'!$B$12)</f>
        <v/>
      </c>
      <c r="CC13">
        <f>0</f>
        <v/>
      </c>
      <c r="CD13">
        <f>0</f>
        <v/>
      </c>
      <c r="CE13">
        <f>0</f>
        <v/>
      </c>
      <c r="CF13">
        <f>MAX(0,'1 Le cas Kleber'!$B$34+BH13-BI13-BJ13)</f>
        <v/>
      </c>
      <c r="CG13">
        <f>MAX(0,BK13+BL13-BM13-BN13)</f>
        <v/>
      </c>
      <c r="CH13">
        <f>MAX(0,BO13+BP13-BQ13-BR13)</f>
        <v/>
      </c>
      <c r="CI13">
        <f>MAX(0,BS13+BT13-BU13-BV13)</f>
        <v/>
      </c>
      <c r="CJ13">
        <f>MAX(0,BW13+BX13-BY13-BZ13)</f>
        <v/>
      </c>
      <c r="CK13">
        <f>CB13/$D$13-'1 Le cas Kleber'!$B$31+CA13</f>
        <v/>
      </c>
      <c r="CL13">
        <f>CF13+CG13+CH13+CI13+CJ13+CK13</f>
        <v/>
      </c>
      <c r="CM13">
        <f>-'1 Le cas Kleber'!$B$32</f>
        <v/>
      </c>
      <c r="CN13">
        <f>CF13</f>
        <v/>
      </c>
      <c r="CO13">
        <f>CG13</f>
        <v/>
      </c>
      <c r="CP13">
        <f>CH13</f>
        <v/>
      </c>
      <c r="CQ13">
        <f>CI13</f>
        <v/>
      </c>
      <c r="CR13">
        <f>CJ13+CK13</f>
        <v/>
      </c>
    </row>
    <row r="14">
      <c r="A14" s="5" t="n">
        <v>543</v>
      </c>
      <c r="B14" s="16">
        <f>AX14/'1 Le cas Kleber'!$B$32</f>
        <v/>
      </c>
      <c r="C14" s="17">
        <f>IRR(AY14:BD14)</f>
        <v/>
      </c>
      <c r="D14" s="8" t="n">
        <v>0.0709</v>
      </c>
      <c r="E14" s="16">
        <f>CL14/'1 Le cas Kleber'!$B$32</f>
        <v/>
      </c>
      <c r="F14" s="17">
        <f>IRR(CM14:CR14)</f>
        <v/>
      </c>
      <c r="T14">
        <f>('1 Le cas Kleber'!$B$8*'1 Le cas Kleber'!$B$9*(1+'1 Le cas Kleber'!$B$13)^1)*(1-'1 Le cas Kleber'!$B$12)</f>
        <v/>
      </c>
      <c r="U14">
        <f>'1 Le cas Kleber'!$B$33</f>
        <v/>
      </c>
      <c r="V14">
        <f>'1 Le cas Kleber'!$B$8*'1 Le cas Kleber'!$B$10</f>
        <v/>
      </c>
      <c r="W14">
        <f>MIN(0,'1 Le cas Kleber'!$B$34+T14-U14-V14)</f>
        <v/>
      </c>
      <c r="X14">
        <f>('1 Le cas Kleber'!$B$8*'1 Le cas Kleber'!$B$9*(1+'1 Le cas Kleber'!$B$13)^2+'1 Le cas Kleber'!$B$8*$A$14*IF('1 Le cas Kleber'!$B$24=1,(1+'1 Le cas Kleber'!$B$13)^2,1))*(1-'1 Le cas Kleber'!$B$12)</f>
        <v/>
      </c>
      <c r="Y14">
        <f>'1 Le cas Kleber'!$B$33</f>
        <v/>
      </c>
      <c r="Z14">
        <f>0</f>
        <v/>
      </c>
      <c r="AA14">
        <f>MIN(0,W14+X14-Y14-Z14)</f>
        <v/>
      </c>
      <c r="AB14">
        <f>('1 Le cas Kleber'!$B$8*'1 Le cas Kleber'!$B$9*(1+'1 Le cas Kleber'!$B$13)^3+'1 Le cas Kleber'!$B$8*$A$14*IF('1 Le cas Kleber'!$B$24=1,(1+'1 Le cas Kleber'!$B$13)^3,1))*(1-'1 Le cas Kleber'!$B$12)</f>
        <v/>
      </c>
      <c r="AC14">
        <f>'1 Le cas Kleber'!$B$33</f>
        <v/>
      </c>
      <c r="AD14">
        <f>0</f>
        <v/>
      </c>
      <c r="AE14">
        <f>MIN(0,AA14+AB14-AC14-AD14)</f>
        <v/>
      </c>
      <c r="AF14">
        <f>('1 Le cas Kleber'!$B$8*$A$14*IF('1 Le cas Kleber'!$B$24=1,(1+'1 Le cas Kleber'!$B$13)^4,1))*(1-'1 Le cas Kleber'!$B$12)</f>
        <v/>
      </c>
      <c r="AG14">
        <f>'1 Le cas Kleber'!$B$33</f>
        <v/>
      </c>
      <c r="AH14">
        <f>'1 Le cas Kleber'!$B$8*'1 Le cas Kleber'!$B$10</f>
        <v/>
      </c>
      <c r="AI14">
        <f>MIN(0,AE14+AF14-AG14-AH14)</f>
        <v/>
      </c>
      <c r="AJ14">
        <f>('1 Le cas Kleber'!$B$5*$A$14*IF('1 Le cas Kleber'!$B$24=1,(1+'1 Le cas Kleber'!$B$13)^5,1))*(1-'1 Le cas Kleber'!$B$12)</f>
        <v/>
      </c>
      <c r="AK14">
        <f>'1 Le cas Kleber'!$B$33</f>
        <v/>
      </c>
      <c r="AL14">
        <f>0</f>
        <v/>
      </c>
      <c r="AM14">
        <f>MIN(0,AI14+AJ14-AK14-AL14)</f>
        <v/>
      </c>
      <c r="AN14">
        <f>('1 Le cas Kleber'!$B$5*$A$14*IF('1 Le cas Kleber'!$B$24=1,(1+'1 Le cas Kleber'!$B$13)^6,1))*(1-'1 Le cas Kleber'!$B$12)</f>
        <v/>
      </c>
      <c r="AO14">
        <f>0</f>
        <v/>
      </c>
      <c r="AP14">
        <f>0</f>
        <v/>
      </c>
      <c r="AQ14">
        <f>0</f>
        <v/>
      </c>
      <c r="AR14">
        <f>MAX(0,'1 Le cas Kleber'!$B$34+T14-U14-V14)</f>
        <v/>
      </c>
      <c r="AS14">
        <f>MAX(0,W14+X14-Y14-Z14)</f>
        <v/>
      </c>
      <c r="AT14">
        <f>MAX(0,AA14+AB14-AC14-AD14)</f>
        <v/>
      </c>
      <c r="AU14">
        <f>MAX(0,AE14+AF14-AG14-AH14)</f>
        <v/>
      </c>
      <c r="AV14">
        <f>MAX(0,AI14+AJ14-AK14-AL14)</f>
        <v/>
      </c>
      <c r="AW14">
        <f>AN14/'1 Le cas Kleber'!$B$19-'1 Le cas Kleber'!$B$31+AM14</f>
        <v/>
      </c>
      <c r="AX14">
        <f>AR14+AS14+AT14+AU14+AV14+AW14</f>
        <v/>
      </c>
      <c r="AY14">
        <f>-'1 Le cas Kleber'!$B$32</f>
        <v/>
      </c>
      <c r="AZ14">
        <f>AR14</f>
        <v/>
      </c>
      <c r="BA14">
        <f>AS14</f>
        <v/>
      </c>
      <c r="BB14">
        <f>AT14</f>
        <v/>
      </c>
      <c r="BC14">
        <f>AU14</f>
        <v/>
      </c>
      <c r="BD14">
        <f>AV14+AW14</f>
        <v/>
      </c>
      <c r="BH14">
        <f>('1 Le cas Kleber'!$B$8*'1 Le cas Kleber'!$B$9*(1+'1 Le cas Kleber'!$B$13)^1)*(1-'1 Le cas Kleber'!$B$12)</f>
        <v/>
      </c>
      <c r="BI14">
        <f>'1 Le cas Kleber'!$B$33</f>
        <v/>
      </c>
      <c r="BJ14">
        <f>'1 Le cas Kleber'!$B$8*'1 Le cas Kleber'!$B$10</f>
        <v/>
      </c>
      <c r="BK14">
        <f>MIN(0,'1 Le cas Kleber'!$B$34+BH14-BI14-BJ14)</f>
        <v/>
      </c>
      <c r="BL14">
        <f>('1 Le cas Kleber'!$B$8*'1 Le cas Kleber'!$B$9*(1+'1 Le cas Kleber'!$B$13)^2+'1 Le cas Kleber'!$B$8*'1 Le cas Kleber'!$B$11*IF('1 Le cas Kleber'!$B$24=1,(1+'1 Le cas Kleber'!$B$13)^2,1))*(1-'1 Le cas Kleber'!$B$12)</f>
        <v/>
      </c>
      <c r="BM14">
        <f>'1 Le cas Kleber'!$B$33</f>
        <v/>
      </c>
      <c r="BN14">
        <f>0</f>
        <v/>
      </c>
      <c r="BO14">
        <f>MIN(0,BK14+BL14-BM14-BN14)</f>
        <v/>
      </c>
      <c r="BP14">
        <f>('1 Le cas Kleber'!$B$8*'1 Le cas Kleber'!$B$9*(1+'1 Le cas Kleber'!$B$13)^3+'1 Le cas Kleber'!$B$8*'1 Le cas Kleber'!$B$11*IF('1 Le cas Kleber'!$B$24=1,(1+'1 Le cas Kleber'!$B$13)^3,1))*(1-'1 Le cas Kleber'!$B$12)</f>
        <v/>
      </c>
      <c r="BQ14">
        <f>'1 Le cas Kleber'!$B$33</f>
        <v/>
      </c>
      <c r="BR14">
        <f>0</f>
        <v/>
      </c>
      <c r="BS14">
        <f>MIN(0,BO14+BP14-BQ14-BR14)</f>
        <v/>
      </c>
      <c r="BT14">
        <f>('1 Le cas Kleber'!$B$8*'1 Le cas Kleber'!$B$11*IF('1 Le cas Kleber'!$B$24=1,(1+'1 Le cas Kleber'!$B$13)^4,1))*(1-'1 Le cas Kleber'!$B$12)</f>
        <v/>
      </c>
      <c r="BU14">
        <f>'1 Le cas Kleber'!$B$33</f>
        <v/>
      </c>
      <c r="BV14">
        <f>'1 Le cas Kleber'!$B$8*'1 Le cas Kleber'!$B$10</f>
        <v/>
      </c>
      <c r="BW14">
        <f>MIN(0,BS14+BT14-BU14-BV14)</f>
        <v/>
      </c>
      <c r="BX14">
        <f>('1 Le cas Kleber'!$B$5*'1 Le cas Kleber'!$B$11*IF('1 Le cas Kleber'!$B$24=1,(1+'1 Le cas Kleber'!$B$13)^5,1))*(1-'1 Le cas Kleber'!$B$12)</f>
        <v/>
      </c>
      <c r="BY14">
        <f>'1 Le cas Kleber'!$B$33</f>
        <v/>
      </c>
      <c r="BZ14">
        <f>0</f>
        <v/>
      </c>
      <c r="CA14">
        <f>MIN(0,BW14+BX14-BY14-BZ14)</f>
        <v/>
      </c>
      <c r="CB14">
        <f>('1 Le cas Kleber'!$B$5*'1 Le cas Kleber'!$B$11*IF('1 Le cas Kleber'!$B$24=1,(1+'1 Le cas Kleber'!$B$13)^6,1))*(1-'1 Le cas Kleber'!$B$12)</f>
        <v/>
      </c>
      <c r="CC14">
        <f>0</f>
        <v/>
      </c>
      <c r="CD14">
        <f>0</f>
        <v/>
      </c>
      <c r="CE14">
        <f>0</f>
        <v/>
      </c>
      <c r="CF14">
        <f>MAX(0,'1 Le cas Kleber'!$B$34+BH14-BI14-BJ14)</f>
        <v/>
      </c>
      <c r="CG14">
        <f>MAX(0,BK14+BL14-BM14-BN14)</f>
        <v/>
      </c>
      <c r="CH14">
        <f>MAX(0,BO14+BP14-BQ14-BR14)</f>
        <v/>
      </c>
      <c r="CI14">
        <f>MAX(0,BS14+BT14-BU14-BV14)</f>
        <v/>
      </c>
      <c r="CJ14">
        <f>MAX(0,BW14+BX14-BY14-BZ14)</f>
        <v/>
      </c>
      <c r="CK14">
        <f>CB14/$D$14-'1 Le cas Kleber'!$B$31+CA14</f>
        <v/>
      </c>
      <c r="CL14">
        <f>CF14+CG14+CH14+CI14+CJ14+CK14</f>
        <v/>
      </c>
      <c r="CM14">
        <f>-'1 Le cas Kleber'!$B$32</f>
        <v/>
      </c>
      <c r="CN14">
        <f>CF14</f>
        <v/>
      </c>
      <c r="CO14">
        <f>CG14</f>
        <v/>
      </c>
      <c r="CP14">
        <f>CH14</f>
        <v/>
      </c>
      <c r="CQ14">
        <f>CI14</f>
        <v/>
      </c>
      <c r="CR14">
        <f>CJ14+CK14</f>
        <v/>
      </c>
    </row>
    <row r="15">
      <c r="A15" s="5" t="n">
        <v>600</v>
      </c>
      <c r="B15" s="16">
        <f>AX15/'1 Le cas Kleber'!$B$32</f>
        <v/>
      </c>
      <c r="C15" s="17">
        <f>IRR(AY15:BD15)</f>
        <v/>
      </c>
      <c r="D15" s="8" t="n">
        <v>0.075</v>
      </c>
      <c r="E15" s="16">
        <f>CL15/'1 Le cas Kleber'!$B$32</f>
        <v/>
      </c>
      <c r="F15" s="17">
        <f>IRR(CM15:CR15)</f>
        <v/>
      </c>
      <c r="T15">
        <f>('1 Le cas Kleber'!$B$8*'1 Le cas Kleber'!$B$9*(1+'1 Le cas Kleber'!$B$13)^1)*(1-'1 Le cas Kleber'!$B$12)</f>
        <v/>
      </c>
      <c r="U15">
        <f>'1 Le cas Kleber'!$B$33</f>
        <v/>
      </c>
      <c r="V15">
        <f>'1 Le cas Kleber'!$B$8*'1 Le cas Kleber'!$B$10</f>
        <v/>
      </c>
      <c r="W15">
        <f>MIN(0,'1 Le cas Kleber'!$B$34+T15-U15-V15)</f>
        <v/>
      </c>
      <c r="X15">
        <f>('1 Le cas Kleber'!$B$8*'1 Le cas Kleber'!$B$9*(1+'1 Le cas Kleber'!$B$13)^2+'1 Le cas Kleber'!$B$8*$A$15*IF('1 Le cas Kleber'!$B$24=1,(1+'1 Le cas Kleber'!$B$13)^2,1))*(1-'1 Le cas Kleber'!$B$12)</f>
        <v/>
      </c>
      <c r="Y15">
        <f>'1 Le cas Kleber'!$B$33</f>
        <v/>
      </c>
      <c r="Z15">
        <f>0</f>
        <v/>
      </c>
      <c r="AA15">
        <f>MIN(0,W15+X15-Y15-Z15)</f>
        <v/>
      </c>
      <c r="AB15">
        <f>('1 Le cas Kleber'!$B$8*'1 Le cas Kleber'!$B$9*(1+'1 Le cas Kleber'!$B$13)^3+'1 Le cas Kleber'!$B$8*$A$15*IF('1 Le cas Kleber'!$B$24=1,(1+'1 Le cas Kleber'!$B$13)^3,1))*(1-'1 Le cas Kleber'!$B$12)</f>
        <v/>
      </c>
      <c r="AC15">
        <f>'1 Le cas Kleber'!$B$33</f>
        <v/>
      </c>
      <c r="AD15">
        <f>0</f>
        <v/>
      </c>
      <c r="AE15">
        <f>MIN(0,AA15+AB15-AC15-AD15)</f>
        <v/>
      </c>
      <c r="AF15">
        <f>('1 Le cas Kleber'!$B$8*$A$15*IF('1 Le cas Kleber'!$B$24=1,(1+'1 Le cas Kleber'!$B$13)^4,1))*(1-'1 Le cas Kleber'!$B$12)</f>
        <v/>
      </c>
      <c r="AG15">
        <f>'1 Le cas Kleber'!$B$33</f>
        <v/>
      </c>
      <c r="AH15">
        <f>'1 Le cas Kleber'!$B$8*'1 Le cas Kleber'!$B$10</f>
        <v/>
      </c>
      <c r="AI15">
        <f>MIN(0,AE15+AF15-AG15-AH15)</f>
        <v/>
      </c>
      <c r="AJ15">
        <f>('1 Le cas Kleber'!$B$5*$A$15*IF('1 Le cas Kleber'!$B$24=1,(1+'1 Le cas Kleber'!$B$13)^5,1))*(1-'1 Le cas Kleber'!$B$12)</f>
        <v/>
      </c>
      <c r="AK15">
        <f>'1 Le cas Kleber'!$B$33</f>
        <v/>
      </c>
      <c r="AL15">
        <f>0</f>
        <v/>
      </c>
      <c r="AM15">
        <f>MIN(0,AI15+AJ15-AK15-AL15)</f>
        <v/>
      </c>
      <c r="AN15">
        <f>('1 Le cas Kleber'!$B$5*$A$15*IF('1 Le cas Kleber'!$B$24=1,(1+'1 Le cas Kleber'!$B$13)^6,1))*(1-'1 Le cas Kleber'!$B$12)</f>
        <v/>
      </c>
      <c r="AO15">
        <f>0</f>
        <v/>
      </c>
      <c r="AP15">
        <f>0</f>
        <v/>
      </c>
      <c r="AQ15">
        <f>0</f>
        <v/>
      </c>
      <c r="AR15">
        <f>MAX(0,'1 Le cas Kleber'!$B$34+T15-U15-V15)</f>
        <v/>
      </c>
      <c r="AS15">
        <f>MAX(0,W15+X15-Y15-Z15)</f>
        <v/>
      </c>
      <c r="AT15">
        <f>MAX(0,AA15+AB15-AC15-AD15)</f>
        <v/>
      </c>
      <c r="AU15">
        <f>MAX(0,AE15+AF15-AG15-AH15)</f>
        <v/>
      </c>
      <c r="AV15">
        <f>MAX(0,AI15+AJ15-AK15-AL15)</f>
        <v/>
      </c>
      <c r="AW15">
        <f>AN15/'1 Le cas Kleber'!$B$19-'1 Le cas Kleber'!$B$31+AM15</f>
        <v/>
      </c>
      <c r="AX15">
        <f>AR15+AS15+AT15+AU15+AV15+AW15</f>
        <v/>
      </c>
      <c r="AY15">
        <f>-'1 Le cas Kleber'!$B$32</f>
        <v/>
      </c>
      <c r="AZ15">
        <f>AR15</f>
        <v/>
      </c>
      <c r="BA15">
        <f>AS15</f>
        <v/>
      </c>
      <c r="BB15">
        <f>AT15</f>
        <v/>
      </c>
      <c r="BC15">
        <f>AU15</f>
        <v/>
      </c>
      <c r="BD15">
        <f>AV15+AW15</f>
        <v/>
      </c>
      <c r="BH15">
        <f>('1 Le cas Kleber'!$B$8*'1 Le cas Kleber'!$B$9*(1+'1 Le cas Kleber'!$B$13)^1)*(1-'1 Le cas Kleber'!$B$12)</f>
        <v/>
      </c>
      <c r="BI15">
        <f>'1 Le cas Kleber'!$B$33</f>
        <v/>
      </c>
      <c r="BJ15">
        <f>'1 Le cas Kleber'!$B$8*'1 Le cas Kleber'!$B$10</f>
        <v/>
      </c>
      <c r="BK15">
        <f>MIN(0,'1 Le cas Kleber'!$B$34+BH15-BI15-BJ15)</f>
        <v/>
      </c>
      <c r="BL15">
        <f>('1 Le cas Kleber'!$B$8*'1 Le cas Kleber'!$B$9*(1+'1 Le cas Kleber'!$B$13)^2+'1 Le cas Kleber'!$B$8*'1 Le cas Kleber'!$B$11*IF('1 Le cas Kleber'!$B$24=1,(1+'1 Le cas Kleber'!$B$13)^2,1))*(1-'1 Le cas Kleber'!$B$12)</f>
        <v/>
      </c>
      <c r="BM15">
        <f>'1 Le cas Kleber'!$B$33</f>
        <v/>
      </c>
      <c r="BN15">
        <f>0</f>
        <v/>
      </c>
      <c r="BO15">
        <f>MIN(0,BK15+BL15-BM15-BN15)</f>
        <v/>
      </c>
      <c r="BP15">
        <f>('1 Le cas Kleber'!$B$8*'1 Le cas Kleber'!$B$9*(1+'1 Le cas Kleber'!$B$13)^3+'1 Le cas Kleber'!$B$8*'1 Le cas Kleber'!$B$11*IF('1 Le cas Kleber'!$B$24=1,(1+'1 Le cas Kleber'!$B$13)^3,1))*(1-'1 Le cas Kleber'!$B$12)</f>
        <v/>
      </c>
      <c r="BQ15">
        <f>'1 Le cas Kleber'!$B$33</f>
        <v/>
      </c>
      <c r="BR15">
        <f>0</f>
        <v/>
      </c>
      <c r="BS15">
        <f>MIN(0,BO15+BP15-BQ15-BR15)</f>
        <v/>
      </c>
      <c r="BT15">
        <f>('1 Le cas Kleber'!$B$8*'1 Le cas Kleber'!$B$11*IF('1 Le cas Kleber'!$B$24=1,(1+'1 Le cas Kleber'!$B$13)^4,1))*(1-'1 Le cas Kleber'!$B$12)</f>
        <v/>
      </c>
      <c r="BU15">
        <f>'1 Le cas Kleber'!$B$33</f>
        <v/>
      </c>
      <c r="BV15">
        <f>'1 Le cas Kleber'!$B$8*'1 Le cas Kleber'!$B$10</f>
        <v/>
      </c>
      <c r="BW15">
        <f>MIN(0,BS15+BT15-BU15-BV15)</f>
        <v/>
      </c>
      <c r="BX15">
        <f>('1 Le cas Kleber'!$B$5*'1 Le cas Kleber'!$B$11*IF('1 Le cas Kleber'!$B$24=1,(1+'1 Le cas Kleber'!$B$13)^5,1))*(1-'1 Le cas Kleber'!$B$12)</f>
        <v/>
      </c>
      <c r="BY15">
        <f>'1 Le cas Kleber'!$B$33</f>
        <v/>
      </c>
      <c r="BZ15">
        <f>0</f>
        <v/>
      </c>
      <c r="CA15">
        <f>MIN(0,BW15+BX15-BY15-BZ15)</f>
        <v/>
      </c>
      <c r="CB15">
        <f>('1 Le cas Kleber'!$B$5*'1 Le cas Kleber'!$B$11*IF('1 Le cas Kleber'!$B$24=1,(1+'1 Le cas Kleber'!$B$13)^6,1))*(1-'1 Le cas Kleber'!$B$12)</f>
        <v/>
      </c>
      <c r="CC15">
        <f>0</f>
        <v/>
      </c>
      <c r="CD15">
        <f>0</f>
        <v/>
      </c>
      <c r="CE15">
        <f>0</f>
        <v/>
      </c>
      <c r="CF15">
        <f>MAX(0,'1 Le cas Kleber'!$B$34+BH15-BI15-BJ15)</f>
        <v/>
      </c>
      <c r="CG15">
        <f>MAX(0,BK15+BL15-BM15-BN15)</f>
        <v/>
      </c>
      <c r="CH15">
        <f>MAX(0,BO15+BP15-BQ15-BR15)</f>
        <v/>
      </c>
      <c r="CI15">
        <f>MAX(0,BS15+BT15-BU15-BV15)</f>
        <v/>
      </c>
      <c r="CJ15">
        <f>MAX(0,BW15+BX15-BY15-BZ15)</f>
        <v/>
      </c>
      <c r="CK15">
        <f>CB15/$D$15-'1 Le cas Kleber'!$B$31+CA15</f>
        <v/>
      </c>
      <c r="CL15">
        <f>CF15+CG15+CH15+CI15+CJ15+CK15</f>
        <v/>
      </c>
      <c r="CM15">
        <f>-'1 Le cas Kleber'!$B$32</f>
        <v/>
      </c>
      <c r="CN15">
        <f>CF15</f>
        <v/>
      </c>
      <c r="CO15">
        <f>CG15</f>
        <v/>
      </c>
      <c r="CP15">
        <f>CH15</f>
        <v/>
      </c>
      <c r="CQ15">
        <f>CI15</f>
        <v/>
      </c>
      <c r="CR15">
        <f>CJ15+CK15</f>
        <v/>
      </c>
    </row>
    <row r="16">
      <c r="A16" s="5" t="n">
        <v>650</v>
      </c>
      <c r="B16" s="16">
        <f>AX16/'1 Le cas Kleber'!$B$32</f>
        <v/>
      </c>
      <c r="C16" s="17">
        <f>IRR(AY16:BD16)</f>
        <v/>
      </c>
      <c r="D16" s="8" t="n">
        <v>0.0809</v>
      </c>
      <c r="E16" s="16">
        <f>CL16/'1 Le cas Kleber'!$B$32</f>
        <v/>
      </c>
      <c r="F16" s="17">
        <f>IRR(CM16:CR16)</f>
        <v/>
      </c>
      <c r="T16">
        <f>('1 Le cas Kleber'!$B$8*'1 Le cas Kleber'!$B$9*(1+'1 Le cas Kleber'!$B$13)^1)*(1-'1 Le cas Kleber'!$B$12)</f>
        <v/>
      </c>
      <c r="U16">
        <f>'1 Le cas Kleber'!$B$33</f>
        <v/>
      </c>
      <c r="V16">
        <f>'1 Le cas Kleber'!$B$8*'1 Le cas Kleber'!$B$10</f>
        <v/>
      </c>
      <c r="W16">
        <f>MIN(0,'1 Le cas Kleber'!$B$34+T16-U16-V16)</f>
        <v/>
      </c>
      <c r="X16">
        <f>('1 Le cas Kleber'!$B$8*'1 Le cas Kleber'!$B$9*(1+'1 Le cas Kleber'!$B$13)^2+'1 Le cas Kleber'!$B$8*$A$16*IF('1 Le cas Kleber'!$B$24=1,(1+'1 Le cas Kleber'!$B$13)^2,1))*(1-'1 Le cas Kleber'!$B$12)</f>
        <v/>
      </c>
      <c r="Y16">
        <f>'1 Le cas Kleber'!$B$33</f>
        <v/>
      </c>
      <c r="Z16">
        <f>0</f>
        <v/>
      </c>
      <c r="AA16">
        <f>MIN(0,W16+X16-Y16-Z16)</f>
        <v/>
      </c>
      <c r="AB16">
        <f>('1 Le cas Kleber'!$B$8*'1 Le cas Kleber'!$B$9*(1+'1 Le cas Kleber'!$B$13)^3+'1 Le cas Kleber'!$B$8*$A$16*IF('1 Le cas Kleber'!$B$24=1,(1+'1 Le cas Kleber'!$B$13)^3,1))*(1-'1 Le cas Kleber'!$B$12)</f>
        <v/>
      </c>
      <c r="AC16">
        <f>'1 Le cas Kleber'!$B$33</f>
        <v/>
      </c>
      <c r="AD16">
        <f>0</f>
        <v/>
      </c>
      <c r="AE16">
        <f>MIN(0,AA16+AB16-AC16-AD16)</f>
        <v/>
      </c>
      <c r="AF16">
        <f>('1 Le cas Kleber'!$B$8*$A$16*IF('1 Le cas Kleber'!$B$24=1,(1+'1 Le cas Kleber'!$B$13)^4,1))*(1-'1 Le cas Kleber'!$B$12)</f>
        <v/>
      </c>
      <c r="AG16">
        <f>'1 Le cas Kleber'!$B$33</f>
        <v/>
      </c>
      <c r="AH16">
        <f>'1 Le cas Kleber'!$B$8*'1 Le cas Kleber'!$B$10</f>
        <v/>
      </c>
      <c r="AI16">
        <f>MIN(0,AE16+AF16-AG16-AH16)</f>
        <v/>
      </c>
      <c r="AJ16">
        <f>('1 Le cas Kleber'!$B$5*$A$16*IF('1 Le cas Kleber'!$B$24=1,(1+'1 Le cas Kleber'!$B$13)^5,1))*(1-'1 Le cas Kleber'!$B$12)</f>
        <v/>
      </c>
      <c r="AK16">
        <f>'1 Le cas Kleber'!$B$33</f>
        <v/>
      </c>
      <c r="AL16">
        <f>0</f>
        <v/>
      </c>
      <c r="AM16">
        <f>MIN(0,AI16+AJ16-AK16-AL16)</f>
        <v/>
      </c>
      <c r="AN16">
        <f>('1 Le cas Kleber'!$B$5*$A$16*IF('1 Le cas Kleber'!$B$24=1,(1+'1 Le cas Kleber'!$B$13)^6,1))*(1-'1 Le cas Kleber'!$B$12)</f>
        <v/>
      </c>
      <c r="AO16">
        <f>0</f>
        <v/>
      </c>
      <c r="AP16">
        <f>0</f>
        <v/>
      </c>
      <c r="AQ16">
        <f>0</f>
        <v/>
      </c>
      <c r="AR16">
        <f>MAX(0,'1 Le cas Kleber'!$B$34+T16-U16-V16)</f>
        <v/>
      </c>
      <c r="AS16">
        <f>MAX(0,W16+X16-Y16-Z16)</f>
        <v/>
      </c>
      <c r="AT16">
        <f>MAX(0,AA16+AB16-AC16-AD16)</f>
        <v/>
      </c>
      <c r="AU16">
        <f>MAX(0,AE16+AF16-AG16-AH16)</f>
        <v/>
      </c>
      <c r="AV16">
        <f>MAX(0,AI16+AJ16-AK16-AL16)</f>
        <v/>
      </c>
      <c r="AW16">
        <f>AN16/'1 Le cas Kleber'!$B$19-'1 Le cas Kleber'!$B$31+AM16</f>
        <v/>
      </c>
      <c r="AX16">
        <f>AR16+AS16+AT16+AU16+AV16+AW16</f>
        <v/>
      </c>
      <c r="AY16">
        <f>-'1 Le cas Kleber'!$B$32</f>
        <v/>
      </c>
      <c r="AZ16">
        <f>AR16</f>
        <v/>
      </c>
      <c r="BA16">
        <f>AS16</f>
        <v/>
      </c>
      <c r="BB16">
        <f>AT16</f>
        <v/>
      </c>
      <c r="BC16">
        <f>AU16</f>
        <v/>
      </c>
      <c r="BD16">
        <f>AV16+AW16</f>
        <v/>
      </c>
      <c r="BH16">
        <f>('1 Le cas Kleber'!$B$8*'1 Le cas Kleber'!$B$9*(1+'1 Le cas Kleber'!$B$13)^1)*(1-'1 Le cas Kleber'!$B$12)</f>
        <v/>
      </c>
      <c r="BI16">
        <f>'1 Le cas Kleber'!$B$33</f>
        <v/>
      </c>
      <c r="BJ16">
        <f>'1 Le cas Kleber'!$B$8*'1 Le cas Kleber'!$B$10</f>
        <v/>
      </c>
      <c r="BK16">
        <f>MIN(0,'1 Le cas Kleber'!$B$34+BH16-BI16-BJ16)</f>
        <v/>
      </c>
      <c r="BL16">
        <f>('1 Le cas Kleber'!$B$8*'1 Le cas Kleber'!$B$9*(1+'1 Le cas Kleber'!$B$13)^2+'1 Le cas Kleber'!$B$8*'1 Le cas Kleber'!$B$11*IF('1 Le cas Kleber'!$B$24=1,(1+'1 Le cas Kleber'!$B$13)^2,1))*(1-'1 Le cas Kleber'!$B$12)</f>
        <v/>
      </c>
      <c r="BM16">
        <f>'1 Le cas Kleber'!$B$33</f>
        <v/>
      </c>
      <c r="BN16">
        <f>0</f>
        <v/>
      </c>
      <c r="BO16">
        <f>MIN(0,BK16+BL16-BM16-BN16)</f>
        <v/>
      </c>
      <c r="BP16">
        <f>('1 Le cas Kleber'!$B$8*'1 Le cas Kleber'!$B$9*(1+'1 Le cas Kleber'!$B$13)^3+'1 Le cas Kleber'!$B$8*'1 Le cas Kleber'!$B$11*IF('1 Le cas Kleber'!$B$24=1,(1+'1 Le cas Kleber'!$B$13)^3,1))*(1-'1 Le cas Kleber'!$B$12)</f>
        <v/>
      </c>
      <c r="BQ16">
        <f>'1 Le cas Kleber'!$B$33</f>
        <v/>
      </c>
      <c r="BR16">
        <f>0</f>
        <v/>
      </c>
      <c r="BS16">
        <f>MIN(0,BO16+BP16-BQ16-BR16)</f>
        <v/>
      </c>
      <c r="BT16">
        <f>('1 Le cas Kleber'!$B$8*'1 Le cas Kleber'!$B$11*IF('1 Le cas Kleber'!$B$24=1,(1+'1 Le cas Kleber'!$B$13)^4,1))*(1-'1 Le cas Kleber'!$B$12)</f>
        <v/>
      </c>
      <c r="BU16">
        <f>'1 Le cas Kleber'!$B$33</f>
        <v/>
      </c>
      <c r="BV16">
        <f>'1 Le cas Kleber'!$B$8*'1 Le cas Kleber'!$B$10</f>
        <v/>
      </c>
      <c r="BW16">
        <f>MIN(0,BS16+BT16-BU16-BV16)</f>
        <v/>
      </c>
      <c r="BX16">
        <f>('1 Le cas Kleber'!$B$5*'1 Le cas Kleber'!$B$11*IF('1 Le cas Kleber'!$B$24=1,(1+'1 Le cas Kleber'!$B$13)^5,1))*(1-'1 Le cas Kleber'!$B$12)</f>
        <v/>
      </c>
      <c r="BY16">
        <f>'1 Le cas Kleber'!$B$33</f>
        <v/>
      </c>
      <c r="BZ16">
        <f>0</f>
        <v/>
      </c>
      <c r="CA16">
        <f>MIN(0,BW16+BX16-BY16-BZ16)</f>
        <v/>
      </c>
      <c r="CB16">
        <f>('1 Le cas Kleber'!$B$5*'1 Le cas Kleber'!$B$11*IF('1 Le cas Kleber'!$B$24=1,(1+'1 Le cas Kleber'!$B$13)^6,1))*(1-'1 Le cas Kleber'!$B$12)</f>
        <v/>
      </c>
      <c r="CC16">
        <f>0</f>
        <v/>
      </c>
      <c r="CD16">
        <f>0</f>
        <v/>
      </c>
      <c r="CE16">
        <f>0</f>
        <v/>
      </c>
      <c r="CF16">
        <f>MAX(0,'1 Le cas Kleber'!$B$34+BH16-BI16-BJ16)</f>
        <v/>
      </c>
      <c r="CG16">
        <f>MAX(0,BK16+BL16-BM16-BN16)</f>
        <v/>
      </c>
      <c r="CH16">
        <f>MAX(0,BO16+BP16-BQ16-BR16)</f>
        <v/>
      </c>
      <c r="CI16">
        <f>MAX(0,BS16+BT16-BU16-BV16)</f>
        <v/>
      </c>
      <c r="CJ16">
        <f>MAX(0,BW16+BX16-BY16-BZ16)</f>
        <v/>
      </c>
      <c r="CK16">
        <f>CB16/$D$16-'1 Le cas Kleber'!$B$31+CA16</f>
        <v/>
      </c>
      <c r="CL16">
        <f>CF16+CG16+CH16+CI16+CJ16+CK16</f>
        <v/>
      </c>
      <c r="CM16">
        <f>-'1 Le cas Kleber'!$B$32</f>
        <v/>
      </c>
      <c r="CN16">
        <f>CF16</f>
        <v/>
      </c>
      <c r="CO16">
        <f>CG16</f>
        <v/>
      </c>
      <c r="CP16">
        <f>CH16</f>
        <v/>
      </c>
      <c r="CQ16">
        <f>CI16</f>
        <v/>
      </c>
      <c r="CR16">
        <f>CJ16+CK16</f>
        <v/>
      </c>
    </row>
    <row r="17">
      <c r="A17" s="5" t="n">
        <v>700</v>
      </c>
      <c r="B17" s="16">
        <f>AX17/'1 Le cas Kleber'!$B$32</f>
        <v/>
      </c>
      <c r="C17" s="17">
        <f>IRR(AY17:BD17)</f>
        <v/>
      </c>
      <c r="D17" s="8" t="n">
        <v>0.09</v>
      </c>
      <c r="E17" s="16">
        <f>CL17/'1 Le cas Kleber'!$B$32</f>
        <v/>
      </c>
      <c r="F17" s="17">
        <f>IRR(CM17:CR17)</f>
        <v/>
      </c>
      <c r="T17">
        <f>('1 Le cas Kleber'!$B$8*'1 Le cas Kleber'!$B$9*(1+'1 Le cas Kleber'!$B$13)^1)*(1-'1 Le cas Kleber'!$B$12)</f>
        <v/>
      </c>
      <c r="U17">
        <f>'1 Le cas Kleber'!$B$33</f>
        <v/>
      </c>
      <c r="V17">
        <f>'1 Le cas Kleber'!$B$8*'1 Le cas Kleber'!$B$10</f>
        <v/>
      </c>
      <c r="W17">
        <f>MIN(0,'1 Le cas Kleber'!$B$34+T17-U17-V17)</f>
        <v/>
      </c>
      <c r="X17">
        <f>('1 Le cas Kleber'!$B$8*'1 Le cas Kleber'!$B$9*(1+'1 Le cas Kleber'!$B$13)^2+'1 Le cas Kleber'!$B$8*$A$17*IF('1 Le cas Kleber'!$B$24=1,(1+'1 Le cas Kleber'!$B$13)^2,1))*(1-'1 Le cas Kleber'!$B$12)</f>
        <v/>
      </c>
      <c r="Y17">
        <f>'1 Le cas Kleber'!$B$33</f>
        <v/>
      </c>
      <c r="Z17">
        <f>0</f>
        <v/>
      </c>
      <c r="AA17">
        <f>MIN(0,W17+X17-Y17-Z17)</f>
        <v/>
      </c>
      <c r="AB17">
        <f>('1 Le cas Kleber'!$B$8*'1 Le cas Kleber'!$B$9*(1+'1 Le cas Kleber'!$B$13)^3+'1 Le cas Kleber'!$B$8*$A$17*IF('1 Le cas Kleber'!$B$24=1,(1+'1 Le cas Kleber'!$B$13)^3,1))*(1-'1 Le cas Kleber'!$B$12)</f>
        <v/>
      </c>
      <c r="AC17">
        <f>'1 Le cas Kleber'!$B$33</f>
        <v/>
      </c>
      <c r="AD17">
        <f>0</f>
        <v/>
      </c>
      <c r="AE17">
        <f>MIN(0,AA17+AB17-AC17-AD17)</f>
        <v/>
      </c>
      <c r="AF17">
        <f>('1 Le cas Kleber'!$B$8*$A$17*IF('1 Le cas Kleber'!$B$24=1,(1+'1 Le cas Kleber'!$B$13)^4,1))*(1-'1 Le cas Kleber'!$B$12)</f>
        <v/>
      </c>
      <c r="AG17">
        <f>'1 Le cas Kleber'!$B$33</f>
        <v/>
      </c>
      <c r="AH17">
        <f>'1 Le cas Kleber'!$B$8*'1 Le cas Kleber'!$B$10</f>
        <v/>
      </c>
      <c r="AI17">
        <f>MIN(0,AE17+AF17-AG17-AH17)</f>
        <v/>
      </c>
      <c r="AJ17">
        <f>('1 Le cas Kleber'!$B$5*$A$17*IF('1 Le cas Kleber'!$B$24=1,(1+'1 Le cas Kleber'!$B$13)^5,1))*(1-'1 Le cas Kleber'!$B$12)</f>
        <v/>
      </c>
      <c r="AK17">
        <f>'1 Le cas Kleber'!$B$33</f>
        <v/>
      </c>
      <c r="AL17">
        <f>0</f>
        <v/>
      </c>
      <c r="AM17">
        <f>MIN(0,AI17+AJ17-AK17-AL17)</f>
        <v/>
      </c>
      <c r="AN17">
        <f>('1 Le cas Kleber'!$B$5*$A$17*IF('1 Le cas Kleber'!$B$24=1,(1+'1 Le cas Kleber'!$B$13)^6,1))*(1-'1 Le cas Kleber'!$B$12)</f>
        <v/>
      </c>
      <c r="AO17">
        <f>0</f>
        <v/>
      </c>
      <c r="AP17">
        <f>0</f>
        <v/>
      </c>
      <c r="AQ17">
        <f>0</f>
        <v/>
      </c>
      <c r="AR17">
        <f>MAX(0,'1 Le cas Kleber'!$B$34+T17-U17-V17)</f>
        <v/>
      </c>
      <c r="AS17">
        <f>MAX(0,W17+X17-Y17-Z17)</f>
        <v/>
      </c>
      <c r="AT17">
        <f>MAX(0,AA17+AB17-AC17-AD17)</f>
        <v/>
      </c>
      <c r="AU17">
        <f>MAX(0,AE17+AF17-AG17-AH17)</f>
        <v/>
      </c>
      <c r="AV17">
        <f>MAX(0,AI17+AJ17-AK17-AL17)</f>
        <v/>
      </c>
      <c r="AW17">
        <f>AN17/'1 Le cas Kleber'!$B$19-'1 Le cas Kleber'!$B$31+AM17</f>
        <v/>
      </c>
      <c r="AX17">
        <f>AR17+AS17+AT17+AU17+AV17+AW17</f>
        <v/>
      </c>
      <c r="AY17">
        <f>-'1 Le cas Kleber'!$B$32</f>
        <v/>
      </c>
      <c r="AZ17">
        <f>AR17</f>
        <v/>
      </c>
      <c r="BA17">
        <f>AS17</f>
        <v/>
      </c>
      <c r="BB17">
        <f>AT17</f>
        <v/>
      </c>
      <c r="BC17">
        <f>AU17</f>
        <v/>
      </c>
      <c r="BD17">
        <f>AV17+AW17</f>
        <v/>
      </c>
      <c r="BH17">
        <f>('1 Le cas Kleber'!$B$8*'1 Le cas Kleber'!$B$9*(1+'1 Le cas Kleber'!$B$13)^1)*(1-'1 Le cas Kleber'!$B$12)</f>
        <v/>
      </c>
      <c r="BI17">
        <f>'1 Le cas Kleber'!$B$33</f>
        <v/>
      </c>
      <c r="BJ17">
        <f>'1 Le cas Kleber'!$B$8*'1 Le cas Kleber'!$B$10</f>
        <v/>
      </c>
      <c r="BK17">
        <f>MIN(0,'1 Le cas Kleber'!$B$34+BH17-BI17-BJ17)</f>
        <v/>
      </c>
      <c r="BL17">
        <f>('1 Le cas Kleber'!$B$8*'1 Le cas Kleber'!$B$9*(1+'1 Le cas Kleber'!$B$13)^2+'1 Le cas Kleber'!$B$8*'1 Le cas Kleber'!$B$11*IF('1 Le cas Kleber'!$B$24=1,(1+'1 Le cas Kleber'!$B$13)^2,1))*(1-'1 Le cas Kleber'!$B$12)</f>
        <v/>
      </c>
      <c r="BM17">
        <f>'1 Le cas Kleber'!$B$33</f>
        <v/>
      </c>
      <c r="BN17">
        <f>0</f>
        <v/>
      </c>
      <c r="BO17">
        <f>MIN(0,BK17+BL17-BM17-BN17)</f>
        <v/>
      </c>
      <c r="BP17">
        <f>('1 Le cas Kleber'!$B$8*'1 Le cas Kleber'!$B$9*(1+'1 Le cas Kleber'!$B$13)^3+'1 Le cas Kleber'!$B$8*'1 Le cas Kleber'!$B$11*IF('1 Le cas Kleber'!$B$24=1,(1+'1 Le cas Kleber'!$B$13)^3,1))*(1-'1 Le cas Kleber'!$B$12)</f>
        <v/>
      </c>
      <c r="BQ17">
        <f>'1 Le cas Kleber'!$B$33</f>
        <v/>
      </c>
      <c r="BR17">
        <f>0</f>
        <v/>
      </c>
      <c r="BS17">
        <f>MIN(0,BO17+BP17-BQ17-BR17)</f>
        <v/>
      </c>
      <c r="BT17">
        <f>('1 Le cas Kleber'!$B$8*'1 Le cas Kleber'!$B$11*IF('1 Le cas Kleber'!$B$24=1,(1+'1 Le cas Kleber'!$B$13)^4,1))*(1-'1 Le cas Kleber'!$B$12)</f>
        <v/>
      </c>
      <c r="BU17">
        <f>'1 Le cas Kleber'!$B$33</f>
        <v/>
      </c>
      <c r="BV17">
        <f>'1 Le cas Kleber'!$B$8*'1 Le cas Kleber'!$B$10</f>
        <v/>
      </c>
      <c r="BW17">
        <f>MIN(0,BS17+BT17-BU17-BV17)</f>
        <v/>
      </c>
      <c r="BX17">
        <f>('1 Le cas Kleber'!$B$5*'1 Le cas Kleber'!$B$11*IF('1 Le cas Kleber'!$B$24=1,(1+'1 Le cas Kleber'!$B$13)^5,1))*(1-'1 Le cas Kleber'!$B$12)</f>
        <v/>
      </c>
      <c r="BY17">
        <f>'1 Le cas Kleber'!$B$33</f>
        <v/>
      </c>
      <c r="BZ17">
        <f>0</f>
        <v/>
      </c>
      <c r="CA17">
        <f>MIN(0,BW17+BX17-BY17-BZ17)</f>
        <v/>
      </c>
      <c r="CB17">
        <f>('1 Le cas Kleber'!$B$5*'1 Le cas Kleber'!$B$11*IF('1 Le cas Kleber'!$B$24=1,(1+'1 Le cas Kleber'!$B$13)^6,1))*(1-'1 Le cas Kleber'!$B$12)</f>
        <v/>
      </c>
      <c r="CC17">
        <f>0</f>
        <v/>
      </c>
      <c r="CD17">
        <f>0</f>
        <v/>
      </c>
      <c r="CE17">
        <f>0</f>
        <v/>
      </c>
      <c r="CF17">
        <f>MAX(0,'1 Le cas Kleber'!$B$34+BH17-BI17-BJ17)</f>
        <v/>
      </c>
      <c r="CG17">
        <f>MAX(0,BK17+BL17-BM17-BN17)</f>
        <v/>
      </c>
      <c r="CH17">
        <f>MAX(0,BO17+BP17-BQ17-BR17)</f>
        <v/>
      </c>
      <c r="CI17">
        <f>MAX(0,BS17+BT17-BU17-BV17)</f>
        <v/>
      </c>
      <c r="CJ17">
        <f>MAX(0,BW17+BX17-BY17-BZ17)</f>
        <v/>
      </c>
      <c r="CK17">
        <f>CB17/$D$17-'1 Le cas Kleber'!$B$31+CA17</f>
        <v/>
      </c>
      <c r="CL17">
        <f>CF17+CG17+CH17+CI17+CJ17+CK17</f>
        <v/>
      </c>
      <c r="CM17">
        <f>-'1 Le cas Kleber'!$B$32</f>
        <v/>
      </c>
      <c r="CN17">
        <f>CF17</f>
        <v/>
      </c>
      <c r="CO17">
        <f>CG17</f>
        <v/>
      </c>
      <c r="CP17">
        <f>CH17</f>
        <v/>
      </c>
      <c r="CQ17">
        <f>CI17</f>
        <v/>
      </c>
      <c r="CR17">
        <f>CJ17+CK17</f>
        <v/>
      </c>
    </row>
    <row r="20">
      <c r="A20" s="3" t="inlineStr">
        <is>
          <t>CE QUE LE MEMO ANNONCE, ET CE QUE LE MODELE DIT</t>
        </is>
      </c>
      <c r="B20" s="4" t="n"/>
      <c r="C20" s="4" t="n"/>
      <c r="D20" s="4" t="n"/>
      <c r="E20" s="4" t="n"/>
      <c r="F20" s="4" t="n"/>
    </row>
    <row r="21">
      <c r="A21" t="inlineStr">
        <is>
          <t>Le memo annonce un loyer d'equilibre de</t>
        </is>
      </c>
      <c r="B21" s="13">
        <f>450</f>
        <v/>
      </c>
      <c r="H21" s="2" t="inlineStr">
        <is>
          <t>Selon la convention d'indexation, le loyer d'equilibre est de 409 ou de 458 EUR/m2. Le 450 du memo est defendable sous une lecture et faux de quarante euros sous l'autre. Meme cause que le TRI.</t>
        </is>
      </c>
    </row>
    <row r="22">
      <c r="A22" t="inlineStr">
        <is>
          <t>MOIC a ce loyer</t>
        </is>
      </c>
      <c r="B22" s="18">
        <f>B10</f>
        <v/>
      </c>
    </row>
    <row r="23">
      <c r="A23" t="inlineStr">
        <is>
          <t>Le loyer ou le MOIC atteint 1,0x se situe donc</t>
        </is>
      </c>
      <c r="B23" s="19">
        <f>IF(B22&gt;1,"en dessous de 450","au-dessus de 450")</f>
        <v/>
      </c>
    </row>
    <row r="24">
      <c r="A24" t="inlineStr">
        <is>
          <t>MOIC a 409 EUR</t>
        </is>
      </c>
      <c r="B24" s="18">
        <f>B7</f>
        <v/>
      </c>
    </row>
    <row r="25">
      <c r="A25" t="inlineStr">
        <is>
          <t>MOIC a 458 EUR</t>
        </is>
      </c>
      <c r="B25" s="18">
        <f>B11</f>
        <v/>
      </c>
    </row>
    <row r="26">
      <c r="A26" t="inlineStr">
        <is>
          <t>Le memo annonce que l'operation tient jusqu'a</t>
        </is>
      </c>
      <c r="B26" s="20">
        <f>0.055</f>
        <v/>
      </c>
      <c r="H26" s="2" t="inlineStr">
        <is>
          <t>Et « l'operation tient jusqu'a 5,5 % » est deux fois trompeur : elle rend son capital bien au-dela — jusqu'a 7 a 8 % de taux de sortie — mais a 5,5 % le TRI est deja tombe sous la cible habituelle d'un value-add. Le memo sous-estime la resistance et surestime le rendement, dans la meme phrase.</t>
        </is>
      </c>
    </row>
    <row r="27">
      <c r="A27" t="inlineStr">
        <is>
          <t>TRI a ce taux de sortie</t>
        </is>
      </c>
      <c r="B27" s="20">
        <f>F10</f>
        <v/>
      </c>
    </row>
    <row r="28">
      <c r="A28" t="inlineStr">
        <is>
          <t>MOIC a ce taux de sortie</t>
        </is>
      </c>
      <c r="B28" s="18">
        <f>E10</f>
        <v/>
      </c>
    </row>
    <row r="29">
      <c r="A29" t="inlineStr">
        <is>
          <t>Taux de sortie ou le MOIC tombe a 1,0x</t>
        </is>
      </c>
      <c r="B29" s="19">
        <f>IF(E14&gt;1,"&gt;= 7,1 %","&lt; 7,1 %")</f>
        <v/>
      </c>
    </row>
    <row r="30">
      <c r="A30" t="inlineStr">
        <is>
          <t>MOIC a 7,09 %</t>
        </is>
      </c>
      <c r="B30" s="18">
        <f>E14</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5"/>
  <sheetViews>
    <sheetView showGridLines="0" workbookViewId="0">
      <pane ySplit="4" topLeftCell="A5" activePane="bottomLeft" state="frozen"/>
      <selection pane="bottomLeft" activeCell="A1" sqref="A1"/>
    </sheetView>
  </sheetViews>
  <sheetFormatPr baseColWidth="8" defaultRowHeight="15"/>
  <cols>
    <col width="48" customWidth="1" min="1" max="1"/>
    <col width="18" customWidth="1" min="2" max="2"/>
    <col width="18" customWidth="1" min="3" max="3"/>
    <col width="3" customWidth="1" min="4" max="4"/>
    <col width="56" customWidth="1" min="5" max="5"/>
  </cols>
  <sheetData>
    <row r="1">
      <c r="A1" s="1" t="inlineStr">
        <is>
          <t>Le chapitre 7, chiffré</t>
        </is>
      </c>
    </row>
    <row r="2">
      <c r="A2" s="2" t="inlineStr">
        <is>
          <t>Le chapitre explique quatre indicateurs et une cascade, correctement, et n'en calcule aucun sur une operation. Voici les trois calculs qu'il decrit et ne fait pas.</t>
        </is>
      </c>
    </row>
    <row r="4">
      <c r="A4" s="3" t="inlineStr">
        <is>
          <t>1) « J'achete a 4 %, j'emprunte a 2 %, mon Cash-on-Cash atteint 6 % ou 7 % »</t>
        </is>
      </c>
      <c r="B4" s="4" t="n"/>
      <c r="C4" s="4" t="n"/>
    </row>
    <row r="5">
      <c r="A5" s="11" t="inlineStr">
        <is>
          <t>Levier (LTV)</t>
        </is>
      </c>
      <c r="B5" s="11" t="inlineStr">
        <is>
          <t>Cash-on-Cash</t>
        </is>
      </c>
      <c r="C5" s="11" t="inlineStr">
        <is>
          <t>Ecart au non levier</t>
        </is>
      </c>
    </row>
    <row r="6">
      <c r="A6" s="6" t="n">
        <v>0</v>
      </c>
      <c r="B6" s="17">
        <f>(0.04-$A$6*0.02)/(1-$A$6)</f>
        <v/>
      </c>
      <c r="C6" s="17">
        <f>B6-0.04</f>
        <v/>
      </c>
    </row>
    <row r="7">
      <c r="A7" s="6" t="n">
        <v>0.2</v>
      </c>
      <c r="B7" s="17">
        <f>(0.04-$A$7*0.02)/(1-$A$7)</f>
        <v/>
      </c>
      <c r="C7" s="17">
        <f>B7-0.04</f>
        <v/>
      </c>
    </row>
    <row r="8">
      <c r="A8" s="6" t="n">
        <v>0.3</v>
      </c>
      <c r="B8" s="17">
        <f>(0.04-$A$8*0.02)/(1-$A$8)</f>
        <v/>
      </c>
      <c r="C8" s="17">
        <f>B8-0.04</f>
        <v/>
      </c>
    </row>
    <row r="9">
      <c r="A9" s="6" t="n">
        <v>0.4</v>
      </c>
      <c r="B9" s="17">
        <f>(0.04-$A$9*0.02)/(1-$A$9)</f>
        <v/>
      </c>
      <c r="C9" s="17">
        <f>B9-0.04</f>
        <v/>
      </c>
    </row>
    <row r="10">
      <c r="A10" s="6" t="n">
        <v>0.5</v>
      </c>
      <c r="B10" s="17">
        <f>(0.04-$A$10*0.02)/(1-$A$10)</f>
        <v/>
      </c>
      <c r="C10" s="17">
        <f>B10-0.04</f>
        <v/>
      </c>
    </row>
    <row r="11">
      <c r="A11" s="6" t="n">
        <v>0.55</v>
      </c>
      <c r="B11" s="17">
        <f>(0.04-$A$11*0.02)/(1-$A$11)</f>
        <v/>
      </c>
      <c r="C11" s="17">
        <f>B11-0.04</f>
        <v/>
      </c>
    </row>
    <row r="12">
      <c r="A12" s="6" t="n">
        <v>0.6</v>
      </c>
      <c r="B12" s="17">
        <f>(0.04-$A$12*0.02)/(1-$A$12)</f>
        <v/>
      </c>
      <c r="C12" s="17">
        <f>B12-0.04</f>
        <v/>
      </c>
    </row>
    <row r="13">
      <c r="A13" s="6" t="n">
        <v>0.65</v>
      </c>
      <c r="B13" s="17">
        <f>(0.04-$A$13*0.02)/(1-$A$13)</f>
        <v/>
      </c>
      <c r="C13" s="17">
        <f>B13-0.04</f>
        <v/>
      </c>
    </row>
    <row r="14">
      <c r="A14" s="6" t="n">
        <v>0.7</v>
      </c>
      <c r="B14" s="17">
        <f>(0.04-$A$14*0.02)/(1-$A$14)</f>
        <v/>
      </c>
      <c r="C14" s="17">
        <f>B14-0.04</f>
        <v/>
      </c>
    </row>
    <row r="16">
      <c r="A16" s="9" t="inlineStr">
        <is>
          <t>Le « 6 % » du livre correspond a un levier de</t>
        </is>
      </c>
      <c r="B16" s="21">
        <f>0.50</f>
        <v/>
      </c>
      <c r="E16" s="2" t="inlineStr">
        <is>
          <t>Les deux chiffres du livre sont exacts. Ce qu'il ne dit pas, c'est a quel niveau de levier ils correspondent — et c'est la seule chose que le lecteur avait besoin de savoir.</t>
        </is>
      </c>
    </row>
    <row r="17">
      <c r="A17" s="9" t="inlineStr">
        <is>
          <t>Le « 7 % » correspond a un levier de</t>
        </is>
      </c>
      <c r="B17" s="21">
        <f>0.60</f>
        <v/>
      </c>
    </row>
    <row r="19">
      <c r="A19" s="3" t="inlineStr">
        <is>
          <t>ET QUAND LE TAUX DEPASSE LE RENDEMENT : « l'effet de levier devient une massue »</t>
        </is>
      </c>
      <c r="B19" s="4" t="n"/>
      <c r="C19" s="4" t="n"/>
    </row>
    <row r="20">
      <c r="A20" s="11" t="inlineStr">
        <is>
          <t>Taux d'interet</t>
        </is>
      </c>
      <c r="B20" s="11" t="inlineStr">
        <is>
          <t>Cash-on-Cash a 60 % de levier</t>
        </is>
      </c>
      <c r="C20" s="11" t="inlineStr">
        <is>
          <t>Perte par rapport au non levier</t>
        </is>
      </c>
    </row>
    <row r="21">
      <c r="A21" s="7" t="n">
        <v>0.02</v>
      </c>
      <c r="B21" s="17">
        <f>(0.04-0.6*$A$21)/0.4</f>
        <v/>
      </c>
      <c r="C21" s="17">
        <f>B21-0.04</f>
        <v/>
      </c>
    </row>
    <row r="22">
      <c r="A22" s="7" t="n">
        <v>0.03</v>
      </c>
      <c r="B22" s="17">
        <f>(0.04-0.6*$A$22)/0.4</f>
        <v/>
      </c>
      <c r="C22" s="17">
        <f>B22-0.04</f>
        <v/>
      </c>
    </row>
    <row r="23">
      <c r="A23" s="7" t="n">
        <v>0.035</v>
      </c>
      <c r="B23" s="17">
        <f>(0.04-0.6*$A$23)/0.4</f>
        <v/>
      </c>
      <c r="C23" s="17">
        <f>B23-0.04</f>
        <v/>
      </c>
    </row>
    <row r="24">
      <c r="A24" s="7" t="n">
        <v>0.04</v>
      </c>
      <c r="B24" s="17">
        <f>(0.04-0.6*$A$24)/0.4</f>
        <v/>
      </c>
      <c r="C24" s="17">
        <f>B24-0.04</f>
        <v/>
      </c>
    </row>
    <row r="25">
      <c r="A25" s="7" t="n">
        <v>0.045</v>
      </c>
      <c r="B25" s="17">
        <f>(0.04-0.6*$A$25)/0.4</f>
        <v/>
      </c>
      <c r="C25" s="17">
        <f>B25-0.04</f>
        <v/>
      </c>
    </row>
    <row r="26">
      <c r="A26" s="7" t="n">
        <v>0.05</v>
      </c>
      <c r="B26" s="17">
        <f>(0.04-0.6*$A$26)/0.4</f>
        <v/>
      </c>
      <c r="C26" s="17">
        <f>B26-0.04</f>
        <v/>
      </c>
    </row>
    <row r="27">
      <c r="A27" s="7" t="n">
        <v>0.06</v>
      </c>
      <c r="B27" s="17">
        <f>(0.04-0.6*$A$27)/0.4</f>
        <v/>
      </c>
      <c r="C27" s="17">
        <f>B27-0.04</f>
        <v/>
      </c>
    </row>
    <row r="28">
      <c r="A28" s="7" t="n">
        <v>0.07000000000000001</v>
      </c>
      <c r="B28" s="17">
        <f>(0.04-0.6*$A$28)/0.4</f>
        <v/>
      </c>
      <c r="C28" s="17">
        <f>B28-0.04</f>
        <v/>
      </c>
    </row>
    <row r="30">
      <c r="A30" s="9" t="inlineStr">
        <is>
          <t>Facteur d'amplification a 60 % de levier : levier / (1 - levier)</t>
        </is>
      </c>
      <c r="B30" s="22">
        <f>0.6/0.4</f>
        <v/>
      </c>
      <c r="E30" s="2" t="inlineStr">
        <is>
          <t>Chaque point de taux au-dessus du rendement coute un point et demi de Cash-on-Cash. La massue a une taille, et elle se calcule avant de signer.</t>
        </is>
      </c>
    </row>
    <row r="32">
      <c r="A32" s="3" t="inlineStr">
        <is>
          <t>2) « VENDRE VITE : TRI 25 %, MULTIPLE 1,2x » CONTRE « GARDER : TRI 8 %, MULTIPLE 2,5x »</t>
        </is>
      </c>
      <c r="B32" s="4" t="n"/>
      <c r="C32" s="4" t="n"/>
    </row>
    <row r="33">
      <c r="A33" s="11" t="inlineStr">
        <is>
          <t>Multiple</t>
        </is>
      </c>
      <c r="B33" s="11" t="inlineStr">
        <is>
          <t>TRI</t>
        </is>
      </c>
      <c r="C33" s="11" t="inlineStr">
        <is>
          <t>Duree implicite, annees</t>
        </is>
      </c>
    </row>
    <row r="34">
      <c r="A34" s="23" t="n">
        <v>1.2</v>
      </c>
      <c r="B34" s="6" t="n">
        <v>0.25</v>
      </c>
      <c r="C34" s="24">
        <f>LN($A$34)/LN(1+$B$34)</f>
        <v/>
      </c>
    </row>
    <row r="35">
      <c r="A35" s="23" t="n">
        <v>1.5</v>
      </c>
      <c r="B35" s="6" t="n">
        <v>0.2</v>
      </c>
      <c r="C35" s="24">
        <f>LN($A$35)/LN(1+$B$35)</f>
        <v/>
      </c>
    </row>
    <row r="36">
      <c r="A36" s="23" t="n">
        <v>2</v>
      </c>
      <c r="B36" s="6" t="n">
        <v>0.15</v>
      </c>
      <c r="C36" s="24">
        <f>LN($A$36)/LN(1+$B$36)</f>
        <v/>
      </c>
    </row>
    <row r="37">
      <c r="A37" s="23" t="n">
        <v>2.5</v>
      </c>
      <c r="B37" s="6" t="n">
        <v>0.08</v>
      </c>
      <c r="C37" s="24">
        <f>LN($A$37)/LN(1+$B$37)</f>
        <v/>
      </c>
    </row>
    <row r="38">
      <c r="A38" s="23" t="n">
        <v>2</v>
      </c>
      <c r="B38" s="6" t="n">
        <v>0.12</v>
      </c>
      <c r="C38" s="24">
        <f>LN($A$38)/LN(1+$B$38)</f>
        <v/>
      </c>
    </row>
    <row r="40">
      <c r="A40" s="9" t="inlineStr">
        <is>
          <t>Le « flip » du livre dure</t>
        </is>
      </c>
      <c r="B40" s="25">
        <f>C34</f>
        <v/>
      </c>
      <c r="E40" s="2" t="inlineStr">
        <is>
          <t>Le chapitre explique que le multiple ignore le temps, puis propose deux couples multiple/TRI sans dire combien de temps chacun prend. Le premier prend dix mois, le second douze ans. C'est precisement la dimension que le chapitre venait de declarer manquante.</t>
        </is>
      </c>
    </row>
    <row r="41">
      <c r="A41" s="9" t="inlineStr">
        <is>
          <t>Le « garder longtemps » dure</t>
        </is>
      </c>
      <c r="B41" s="25">
        <f>C37</f>
        <v/>
      </c>
    </row>
    <row r="43">
      <c r="A43" s="3" t="inlineStr">
        <is>
          <t>3) LA CASCADE EUROPEENNE, EXECUTEE SUR LE CAS KLEBER</t>
        </is>
      </c>
      <c r="B43" s="4" t="n"/>
      <c r="C43" s="4" t="n"/>
    </row>
    <row r="44">
      <c r="A44" t="inlineStr">
        <is>
          <t>Equity investie</t>
        </is>
      </c>
      <c r="B44" s="13">
        <f>'1 Le cas Kleber'!$B$32</f>
        <v/>
      </c>
    </row>
    <row r="45">
      <c r="A45" t="inlineStr">
        <is>
          <t>Distributions totales (feuille 2)</t>
        </is>
      </c>
      <c r="B45" s="13">
        <f>'2 Les flux'!B21</f>
        <v/>
      </c>
    </row>
    <row r="46">
      <c r="A46" t="inlineStr">
        <is>
          <t>Profit</t>
        </is>
      </c>
      <c r="B46" s="13">
        <f>B45-B44</f>
        <v/>
      </c>
    </row>
    <row r="47">
      <c r="A47" t="inlineStr">
        <is>
          <t>Rendement prioritaire du : capital x ((1+hurdle)^n - 1)</t>
        </is>
      </c>
      <c r="B47" s="13">
        <f>'1 Le cas Kleber'!$B$32*((1+'1 Le cas Kleber'!$B$20)^'1 Le cas Kleber'!$B$18-1)</f>
        <v/>
      </c>
    </row>
    <row r="48">
      <c r="A48" t="inlineStr">
        <is>
          <t>Distributions necessaires avant que le GP touche un euro</t>
        </is>
      </c>
      <c r="B48" s="13">
        <f>B44+B47</f>
        <v/>
      </c>
    </row>
    <row r="49">
      <c r="A49" t="inlineStr">
        <is>
          <t>soit un multiple de</t>
        </is>
      </c>
      <c r="B49" s="14">
        <f>B48/B44</f>
        <v/>
      </c>
      <c r="E49" s="2" t="inlineStr">
        <is>
          <t>Voila ce que « souvent 7 % ou 8 % par an » veut dire une fois converti : il faut rendre pres d'une fois et demie la mise avant que le gerant ne touche quoi que ce soit.</t>
        </is>
      </c>
    </row>
    <row r="50">
      <c r="A50" t="inlineStr">
        <is>
          <t>Bande de rattrapage : le GP y percoit 100 %</t>
        </is>
      </c>
      <c r="B50" s="13">
        <f>'1 Le cas Kleber'!$B$21/(1-'1 Le cas Kleber'!$B$21)*B47</f>
        <v/>
      </c>
    </row>
    <row r="51">
      <c r="A51" t="inlineStr">
        <is>
          <t>Carried interest du GP</t>
        </is>
      </c>
      <c r="B51" s="13">
        <f>'1 Le cas Kleber'!$B$21*B46</f>
        <v/>
      </c>
    </row>
    <row r="52">
      <c r="A52" t="inlineStr">
        <is>
          <t>Part du profit revenant au GP</t>
        </is>
      </c>
      <c r="B52" s="26">
        <f>B51/B46</f>
        <v/>
      </c>
      <c r="E52" s="2" t="inlineStr">
        <is>
          <t>⚠ Et voila ce que les quatre etapes du chapitre cachent : avec un rattrapage integral, la cascade rend au GP exactement vingt pour cent du profit. Le rendement prioritaire et le rattrapage ne changent pas le PARTAGE, seulement la DATE. Le hurdle ne coute rien au gerant des lors que l'operation franchit la bande de rattrapage.</t>
        </is>
      </c>
    </row>
    <row r="53">
      <c r="A53" t="inlineStr">
        <is>
          <t>Revenant aux LP</t>
        </is>
      </c>
      <c r="B53" s="13">
        <f>B45-B51</f>
        <v/>
      </c>
    </row>
    <row r="54">
      <c r="A54" t="inlineStr">
        <is>
          <t>Multiple net pour les LP</t>
        </is>
      </c>
      <c r="B54" s="18">
        <f>B53/B44</f>
        <v/>
      </c>
    </row>
    <row r="55">
      <c r="A55" t="inlineStr">
        <is>
          <t>Multiple brut</t>
        </is>
      </c>
      <c r="B55" s="18">
        <f>B45/B44</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2"/>
  <sheetViews>
    <sheetView showGridLines="0" workbookViewId="0">
      <pane ySplit="4" topLeftCell="A5" activePane="bottomLeft" state="frozen"/>
      <selection pane="bottomLeft" activeCell="A1" sqref="A1"/>
    </sheetView>
  </sheetViews>
  <sheetFormatPr baseColWidth="8" defaultRowHeight="15"/>
  <cols>
    <col width="6" customWidth="1" min="1" max="1"/>
    <col width="76" customWidth="1" min="2" max="2"/>
    <col width="18" customWidth="1" min="3" max="3"/>
    <col width="18" customWidth="1" min="4" max="4"/>
    <col width="12" customWidth="1" min="5" max="5"/>
  </cols>
  <sheetData>
    <row r="1">
      <c r="A1" s="1" t="inlineStr">
        <is>
          <t>Controles</t>
        </is>
      </c>
    </row>
    <row r="2">
      <c r="A2" s="2" t="inlineStr">
        <is>
          <t>Chaque ligne verifie soit un chiffre imprime dans le livre, soit une identite qui doit tenir.</t>
        </is>
      </c>
    </row>
    <row r="4">
      <c r="A4" s="11" t="inlineStr">
        <is>
          <t>N°</t>
        </is>
      </c>
      <c r="B4" s="11" t="inlineStr">
        <is>
          <t>Ce qui est verifie</t>
        </is>
      </c>
      <c r="C4" s="11" t="inlineStr">
        <is>
          <t>Attendu</t>
        </is>
      </c>
      <c r="D4" s="11" t="inlineStr">
        <is>
          <t>Obtenu</t>
        </is>
      </c>
      <c r="E4" s="11" t="inlineStr">
        <is>
          <t>Resultat</t>
        </is>
      </c>
    </row>
    <row r="5">
      <c r="A5" t="n">
        <v>1</v>
      </c>
      <c r="B5" t="inlineStr">
        <is>
          <t>Frais d'acquisition : 7 % de 40 M€ = 2,8 M€</t>
        </is>
      </c>
      <c r="C5">
        <f>2800000</f>
        <v/>
      </c>
      <c r="D5">
        <f>'1 Le cas Kleber'!B28</f>
        <v/>
      </c>
      <c r="E5" s="9">
        <f>IF(ABS(D5-C5)&lt;1,"PASS","ERREUR")</f>
        <v/>
      </c>
    </row>
    <row r="6">
      <c r="A6" t="n">
        <v>2</v>
      </c>
      <c r="B6" t="inlineStr">
        <is>
          <t>Capex total : 5 000 m2 x 1 000 € = 5,0 M€</t>
        </is>
      </c>
      <c r="C6">
        <f>5000000</f>
        <v/>
      </c>
      <c r="D6">
        <f>'1 Le cas Kleber'!B29</f>
        <v/>
      </c>
      <c r="E6" s="9">
        <f>IF(ABS(D6-C6)&lt;1,"PASS","ERREUR")</f>
        <v/>
      </c>
    </row>
    <row r="7">
      <c r="A7" t="n">
        <v>3</v>
      </c>
      <c r="B7" t="inlineStr">
        <is>
          <t>Total Uses : le livre annonce 47,8 M€</t>
        </is>
      </c>
      <c r="C7">
        <f>47800000</f>
        <v/>
      </c>
      <c r="D7">
        <f>'1 Le cas Kleber'!B30</f>
        <v/>
      </c>
      <c r="E7" s="9">
        <f>IF(ABS(D7-C7)&lt;1,"PASS","ERREUR")</f>
        <v/>
      </c>
    </row>
    <row r="8">
      <c r="A8" t="n">
        <v>4</v>
      </c>
      <c r="B8" t="inlineStr">
        <is>
          <t>Dette : 60 % du cout total, le livre annonce 28,7 M€</t>
        </is>
      </c>
      <c r="C8">
        <f>47800000*0.6</f>
        <v/>
      </c>
      <c r="D8">
        <f>'1 Le cas Kleber'!B31</f>
        <v/>
      </c>
      <c r="E8" s="9">
        <f>IF(ABS(D8-C8)&lt;1,"PASS","ERREUR")</f>
        <v/>
      </c>
    </row>
    <row r="9">
      <c r="A9" t="n">
        <v>5</v>
      </c>
      <c r="B9" t="inlineStr">
        <is>
          <t>Equity : le livre annonce 19,1 M€</t>
        </is>
      </c>
      <c r="C9">
        <f>47800000*0.4</f>
        <v/>
      </c>
      <c r="D9">
        <f>'1 Le cas Kleber'!B32</f>
        <v/>
      </c>
      <c r="E9" s="9">
        <f>IF(ABS(D9-C9)&lt;1,"PASS","ERREUR")</f>
        <v/>
      </c>
    </row>
    <row r="10">
      <c r="A10" t="n">
        <v>6</v>
      </c>
      <c r="B10" t="inlineStr">
        <is>
          <t>Interet annuel : 4,5 % sur la dette</t>
        </is>
      </c>
      <c r="C10">
        <f>'1 Le cas Kleber'!B31*0.045</f>
        <v/>
      </c>
      <c r="D10">
        <f>'1 Le cas Kleber'!B33</f>
        <v/>
      </c>
      <c r="E10" s="9">
        <f>IF(ABS(D10-C10)&lt;1,"PASS","ERREUR")</f>
        <v/>
      </c>
    </row>
    <row r="11">
      <c r="A11" t="n">
        <v>7</v>
      </c>
      <c r="B11" t="inlineStr">
        <is>
          <t>Ligne de capex tiree au depart = le capex</t>
        </is>
      </c>
      <c r="C11">
        <f>'1 Le cas Kleber'!B29</f>
        <v/>
      </c>
      <c r="D11">
        <f>'1 Le cas Kleber'!B34</f>
        <v/>
      </c>
      <c r="E11" s="9">
        <f>IF(ABS(D11-C11)&lt;1,"PASS","ERREUR")</f>
        <v/>
      </c>
    </row>
    <row r="12">
      <c r="A12" t="n">
        <v>8</v>
      </c>
      <c r="B12" t="inlineStr">
        <is>
          <t>Annee 1 : le livre annonce « 1,0 M€ » de loyer</t>
        </is>
      </c>
      <c r="C12">
        <f>1000000</f>
        <v/>
      </c>
      <c r="D12">
        <f>'2 Les flux'!B7</f>
        <v/>
      </c>
      <c r="E12" s="9">
        <f>IF(ABS(D12-C12)&lt;30000,"PASS","ERREUR")</f>
        <v/>
      </c>
    </row>
    <row r="13">
      <c r="A13" t="n">
        <v>9</v>
      </c>
      <c r="B13" t="inlineStr">
        <is>
          <t>Annee 4 : creux de revenus, le locataire historique est parti</t>
        </is>
      </c>
      <c r="C13">
        <f>"OUI"</f>
        <v/>
      </c>
      <c r="D13">
        <f>IF('2 Les flux'!E7&lt;'2 Les flux'!D7,"OUI","NON")</f>
        <v/>
      </c>
      <c r="E13" s="9">
        <f>IF(EXACT(C13,D13),"PASS","ERREUR")</f>
        <v/>
      </c>
    </row>
    <row r="14">
      <c r="A14" t="n">
        <v>10</v>
      </c>
      <c r="B14" t="inlineStr">
        <is>
          <t>Annee 5 : immeuble plein, loyer au marche sur 5 000 m2</t>
        </is>
      </c>
      <c r="C14">
        <f>"OUI"</f>
        <v/>
      </c>
      <c r="D14">
        <f>IF('2 Les flux'!F7&gt;'2 Les flux'!D7,"OUI","NON")</f>
        <v/>
      </c>
      <c r="E14" s="9">
        <f>IF(EXACT(C14,D14),"PASS","ERREUR")</f>
        <v/>
      </c>
    </row>
    <row r="15">
      <c r="A15" t="n">
        <v>11</v>
      </c>
      <c r="B15" t="inlineStr">
        <is>
          <t>Le loyer net vaut 95 % du loyer brut</t>
        </is>
      </c>
      <c r="C15">
        <f>'2 Les flux'!F7*0.95</f>
        <v/>
      </c>
      <c r="D15">
        <f>'2 Les flux'!F8</f>
        <v/>
      </c>
      <c r="E15" s="9">
        <f>IF(ABS(D15-C15)&lt;1,"PASS","ERREUR")</f>
        <v/>
      </c>
    </row>
    <row r="16">
      <c r="A16" t="n">
        <v>12</v>
      </c>
      <c r="B16" t="inlineStr">
        <is>
          <t>Prix de vente = NOI 6 divise par le taux de sortie</t>
        </is>
      </c>
      <c r="C16">
        <f>'2 Les flux'!B15/0.0475</f>
        <v/>
      </c>
      <c r="D16">
        <f>'2 Les flux'!B16</f>
        <v/>
      </c>
      <c r="E16" s="9">
        <f>IF(ABS(D16-C16)&lt;1,"PASS","ERREUR")</f>
        <v/>
      </c>
    </row>
    <row r="17">
      <c r="A17" t="n">
        <v>13</v>
      </c>
      <c r="B17" t="inlineStr">
        <is>
          <t>Produit net = vente moins dette plus caisse</t>
        </is>
      </c>
      <c r="C17">
        <f>'2 Les flux'!B16-'1 Le cas Kleber'!B31+'2 Les flux'!B18</f>
        <v/>
      </c>
      <c r="D17">
        <f>'2 Les flux'!B19</f>
        <v/>
      </c>
      <c r="E17" s="9">
        <f>IF(ABS(D17-C17)&lt;1,"PASS","ERREUR")</f>
        <v/>
      </c>
    </row>
    <row r="18">
      <c r="A18" t="n">
        <v>14</v>
      </c>
      <c r="B18" t="inlineStr">
        <is>
          <t>Multiple = distributions / equity</t>
        </is>
      </c>
      <c r="C18">
        <f>'2 Les flux'!B21/'2 Les flux'!B20</f>
        <v/>
      </c>
      <c r="D18">
        <f>'2 Les flux'!B22</f>
        <v/>
      </c>
      <c r="E18" s="9">
        <f>IF(ABS(D18-C18)&lt;1e-09,"PASS","ERREUR")</f>
        <v/>
      </c>
    </row>
    <row r="19">
      <c r="A19" t="n">
        <v>15</v>
      </c>
      <c r="B19" t="inlineStr">
        <is>
          <t>Profit = distributions moins equity</t>
        </is>
      </c>
      <c r="C19">
        <f>'2 Les flux'!B21-'2 Les flux'!B20</f>
        <v/>
      </c>
      <c r="D19">
        <f>'2 Les flux'!B23</f>
        <v/>
      </c>
      <c r="E19" s="9">
        <f>IF(ABS(D19-C19)&lt;1,"PASS","ERREUR")</f>
        <v/>
      </c>
    </row>
    <row r="20">
      <c r="A20" t="n">
        <v>16</v>
      </c>
      <c r="B20" t="inlineStr">
        <is>
          <t>⚠ Le TRI depasse la fourchette « 18-20 % » du livre</t>
        </is>
      </c>
      <c r="C20">
        <f>"OUI"</f>
        <v/>
      </c>
      <c r="D20">
        <f>IF('2 Les flux'!B26&gt;0.20,"OUI","NON")</f>
        <v/>
      </c>
      <c r="E20" s="9">
        <f>IF(EXACT(C20,D20),"PASS","ERREUR")</f>
        <v/>
      </c>
    </row>
    <row r="21">
      <c r="A21" t="n">
        <v>17</v>
      </c>
      <c r="B21" t="inlineStr">
        <is>
          <t>⚠ Le multiple depasse le 2,35x du memo</t>
        </is>
      </c>
      <c r="C21">
        <f>"OUI"</f>
        <v/>
      </c>
      <c r="D21">
        <f>IF('2 Les flux'!B22&gt;2.35,"OUI","NON")</f>
        <v/>
      </c>
      <c r="E21" s="9">
        <f>IF(EXACT(C21,D21),"PASS","ERREUR")</f>
        <v/>
      </c>
    </row>
    <row r="22">
      <c r="A22" t="n">
        <v>18</v>
      </c>
      <c r="B22" t="inlineStr">
        <is>
          <t>Seuils : le MOIC croit avec le loyer de marche</t>
        </is>
      </c>
      <c r="C22">
        <f>"OUI"</f>
        <v/>
      </c>
      <c r="D22">
        <f>IF('3 Les seuils du memo'!B13&gt;'3 Les seuils du memo'!B5,"OUI","NON")</f>
        <v/>
      </c>
      <c r="E22" s="9">
        <f>IF(EXACT(C22,D22),"PASS","ERREUR")</f>
        <v/>
      </c>
    </row>
    <row r="23">
      <c r="A23" t="n">
        <v>19</v>
      </c>
      <c r="B23" t="inlineStr">
        <is>
          <t>Seuils : a 380 € de loyer, l'operation ne rend pas la mise</t>
        </is>
      </c>
      <c r="C23">
        <f>"OUI"</f>
        <v/>
      </c>
      <c r="D23">
        <f>IF('3 Les seuils du memo'!B5&lt;1,"OUI","NON")</f>
        <v/>
      </c>
      <c r="E23" s="9">
        <f>IF(EXACT(C23,D23),"PASS","ERREUR")</f>
        <v/>
      </c>
    </row>
    <row r="24">
      <c r="A24" t="n">
        <v>20</v>
      </c>
      <c r="B24" t="inlineStr">
        <is>
          <t>Seuils : a 650 €, elle la rend plus de deux fois</t>
        </is>
      </c>
      <c r="C24">
        <f>"OUI"</f>
        <v/>
      </c>
      <c r="D24">
        <f>IF('3 Les seuils du memo'!B16&gt;2,"OUI","NON")</f>
        <v/>
      </c>
      <c r="E24" s="9">
        <f>IF(EXACT(C24,D24),"PASS","ERREUR")</f>
        <v/>
      </c>
    </row>
    <row r="25">
      <c r="A25" t="n">
        <v>21</v>
      </c>
      <c r="B25" t="inlineStr">
        <is>
          <t>⚠ Seuils : a 450 € — le chiffre du memo — le MOIC depasse deja 1,0x</t>
        </is>
      </c>
      <c r="C25">
        <f>"OUI"</f>
        <v/>
      </c>
      <c r="D25">
        <f>IF('3 Les seuils du memo'!B10&gt;1,"OUI","NON")</f>
        <v/>
      </c>
      <c r="E25" s="9">
        <f>IF(EXACT(C25,D25),"PASS","ERREUR")</f>
        <v/>
      </c>
    </row>
    <row r="26">
      <c r="A26" t="n">
        <v>22</v>
      </c>
      <c r="B26" t="inlineStr">
        <is>
          <t>Seuils : le MOIC decroit quand le taux de sortie monte</t>
        </is>
      </c>
      <c r="C26">
        <f>"OUI"</f>
        <v/>
      </c>
      <c r="D26">
        <f>IF('3 Les seuils du memo'!E13&lt;'3 Les seuils du memo'!E5,"OUI","NON")</f>
        <v/>
      </c>
      <c r="E26" s="9">
        <f>IF(EXACT(C26,D26),"PASS","ERREUR")</f>
        <v/>
      </c>
    </row>
    <row r="27">
      <c r="A27" t="n">
        <v>23</v>
      </c>
      <c r="B27" t="inlineStr">
        <is>
          <t>⚠ Seuils : a 5,5 % de taux de sortie, l'operation rend encore plus que la mise</t>
        </is>
      </c>
      <c r="C27">
        <f>"OUI"</f>
        <v/>
      </c>
      <c r="D27">
        <f>IF('3 Les seuils du memo'!E10&gt;1,"OUI","NON")</f>
        <v/>
      </c>
      <c r="E27" s="9">
        <f>IF(EXACT(C27,D27),"PASS","ERREUR")</f>
        <v/>
      </c>
    </row>
    <row r="28">
      <c r="A28" t="n">
        <v>24</v>
      </c>
      <c r="B28" t="inlineStr">
        <is>
          <t>⚠ Seuils : elle la rend encore a 7,09 %</t>
        </is>
      </c>
      <c r="C28">
        <f>"OUI"</f>
        <v/>
      </c>
      <c r="D28">
        <f>IF('3 Les seuils du memo'!E14&gt;0.95,"OUI","NON")</f>
        <v/>
      </c>
      <c r="E28" s="9">
        <f>IF(EXACT(C28,D28),"PASS","ERREUR")</f>
        <v/>
      </c>
    </row>
    <row r="29">
      <c r="A29" t="n">
        <v>25</v>
      </c>
      <c r="B29" t="inlineStr">
        <is>
          <t>Levier : sans dette, le Cash-on-Cash vaut le rendement</t>
        </is>
      </c>
      <c r="C29">
        <f>0.04</f>
        <v/>
      </c>
      <c r="D29">
        <f>'4 Le chapitre 7'!B6</f>
        <v/>
      </c>
      <c r="E29" s="9">
        <f>IF(ABS(D29-C29)&lt;1e-09,"PASS","ERREUR")</f>
        <v/>
      </c>
    </row>
    <row r="30">
      <c r="A30" t="n">
        <v>26</v>
      </c>
      <c r="B30" t="inlineStr">
        <is>
          <t>Levier : a 50 %, le livre annonce 6 %</t>
        </is>
      </c>
      <c r="C30">
        <f>0.06</f>
        <v/>
      </c>
      <c r="D30">
        <f>'4 Le chapitre 7'!B10</f>
        <v/>
      </c>
      <c r="E30" s="9">
        <f>IF(ABS(D30-C30)&lt;1e-09,"PASS","ERREUR")</f>
        <v/>
      </c>
    </row>
    <row r="31">
      <c r="A31" t="n">
        <v>27</v>
      </c>
      <c r="B31" t="inlineStr">
        <is>
          <t>Levier : a 60 %, le livre annonce 7 %</t>
        </is>
      </c>
      <c r="C31">
        <f>0.07</f>
        <v/>
      </c>
      <c r="D31">
        <f>'4 Le chapitre 7'!B12</f>
        <v/>
      </c>
      <c r="E31" s="9">
        <f>IF(ABS(D31-C31)&lt;1e-09,"PASS","ERREUR")</f>
        <v/>
      </c>
    </row>
    <row r="32">
      <c r="A32" t="n">
        <v>28</v>
      </c>
      <c r="B32" t="inlineStr">
        <is>
          <t>Levier : au-dela du rendement, le Cash-on-Cash passe sous 4 %</t>
        </is>
      </c>
      <c r="C32">
        <f>"OUI"</f>
        <v/>
      </c>
      <c r="D32">
        <f>IF('4 Le chapitre 7'!B25&lt;0.04,"OUI","NON")</f>
        <v/>
      </c>
      <c r="E32" s="9">
        <f>IF(EXACT(C32,D32),"PASS","ERREUR")</f>
        <v/>
      </c>
    </row>
    <row r="33">
      <c r="A33" t="n">
        <v>29</v>
      </c>
      <c r="B33" t="inlineStr">
        <is>
          <t>Levier : le facteur d'amplification a 60 % vaut 1,5</t>
        </is>
      </c>
      <c r="C33">
        <f>1.5</f>
        <v/>
      </c>
      <c r="D33">
        <f>'4 Le chapitre 7'!B30</f>
        <v/>
      </c>
      <c r="E33" s="9">
        <f>IF(ABS(D33-C33)&lt;1e-09,"PASS","ERREUR")</f>
        <v/>
      </c>
    </row>
    <row r="34">
      <c r="A34" t="n">
        <v>30</v>
      </c>
      <c r="B34" t="inlineStr">
        <is>
          <t>Dilemme : 1,2x a 25 % dure moins d'un an</t>
        </is>
      </c>
      <c r="C34">
        <f>"OUI"</f>
        <v/>
      </c>
      <c r="D34">
        <f>IF('4 Le chapitre 7'!B40&lt;1,"OUI","NON")</f>
        <v/>
      </c>
      <c r="E34" s="9">
        <f>IF(EXACT(C34,D34),"PASS","ERREUR")</f>
        <v/>
      </c>
    </row>
    <row r="35">
      <c r="A35" t="n">
        <v>31</v>
      </c>
      <c r="B35" t="inlineStr">
        <is>
          <t>Dilemme : 2,5x a 8 % dure plus de dix ans</t>
        </is>
      </c>
      <c r="C35">
        <f>"OUI"</f>
        <v/>
      </c>
      <c r="D35">
        <f>IF('4 Le chapitre 7'!B41&gt;10,"OUI","NON")</f>
        <v/>
      </c>
      <c r="E35" s="9">
        <f>IF(EXACT(C35,D35),"PASS","ERREUR")</f>
        <v/>
      </c>
    </row>
    <row r="36">
      <c r="A36" t="n">
        <v>32</v>
      </c>
      <c r="B36" t="inlineStr">
        <is>
          <t>Cascade : le multiple a atteindre avant le carry depasse 1,4x</t>
        </is>
      </c>
      <c r="C36">
        <f>"OUI"</f>
        <v/>
      </c>
      <c r="D36">
        <f>IF('4 Le chapitre 7'!B49&gt;1.4,"OUI","NON")</f>
        <v/>
      </c>
      <c r="E36" s="9">
        <f>IF(EXACT(C36,D36),"PASS","ERREUR")</f>
        <v/>
      </c>
    </row>
    <row r="37">
      <c r="A37" t="n">
        <v>33</v>
      </c>
      <c r="B37" t="inlineStr">
        <is>
          <t>⚠ Cascade : avec rattrapage integral, le GP recoit exactement 20 % du profit</t>
        </is>
      </c>
      <c r="C37">
        <f>0.2</f>
        <v/>
      </c>
      <c r="D37">
        <f>'4 Le chapitre 7'!B52</f>
        <v/>
      </c>
      <c r="E37" s="9">
        <f>IF(ABS(D37-C37)&lt;1e-09,"PASS","ERREUR")</f>
        <v/>
      </c>
    </row>
    <row r="38">
      <c r="A38" t="n">
        <v>34</v>
      </c>
      <c r="B38" t="inlineStr">
        <is>
          <t>Cascade : le multiple net des LP est inferieur au brut</t>
        </is>
      </c>
      <c r="C38">
        <f>"OUI"</f>
        <v/>
      </c>
      <c r="D38">
        <f>IF('4 Le chapitre 7'!B54&lt;'4 Le chapitre 7'!B55,"OUI","NON")</f>
        <v/>
      </c>
      <c r="E38" s="9">
        <f>IF(EXACT(C38,D38),"PASS","ERREUR")</f>
        <v/>
      </c>
    </row>
    <row r="39">
      <c r="A39" t="n">
        <v>35</v>
      </c>
      <c r="B39" t="inlineStr">
        <is>
          <t>Cascade : LP + GP = distributions totales</t>
        </is>
      </c>
      <c r="C39">
        <f>'4 Le chapitre 7'!B45</f>
        <v/>
      </c>
      <c r="D39">
        <f>'4 Le chapitre 7'!B53+'4 Le chapitre 7'!B51</f>
        <v/>
      </c>
      <c r="E39" s="9">
        <f>IF(ABS(D39-C39)&lt;1,"PASS","ERREUR")</f>
        <v/>
      </c>
    </row>
    <row r="41">
      <c r="B41" s="9" t="inlineStr">
        <is>
          <t>PASS comptes</t>
        </is>
      </c>
      <c r="E41" s="19">
        <f>COUNTIF(E5:E39,"PASS")</f>
        <v/>
      </c>
    </row>
    <row r="42">
      <c r="B42" s="9" t="inlineStr">
        <is>
          <t>Controles au total</t>
        </is>
      </c>
      <c r="E42" s="9" t="n">
        <v>35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2026-08-22T19:18:02Z</dcterms:created>
  <dcterms:modified xmlns:dcterms="http://purl.org/dc/terms/" xmlns:xsi="http://www.w3.org/2001/XMLSchema-instance" xsi:type="dcterms:W3CDTF">2026-08-22T19:18:02Z</dcterms:modified>
</cp:coreProperties>
</file>