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Les chiffres du livre" sheetId="1" state="visible" r:id="rId1"/>
    <sheet xmlns:r="http://schemas.openxmlformats.org/officeDocument/2006/relationships" name="2 Les heures converties" sheetId="2" state="visible" r:id="rId2"/>
    <sheet xmlns:r="http://schemas.openxmlformats.org/officeDocument/2006/relationships" name="3 Probabilite de carriere" sheetId="3" state="visible" r:id="rId3"/>
    <sheet xmlns:r="http://schemas.openxmlformats.org/officeDocument/2006/relationships" name="4 Les cinq lignes" sheetId="4" state="visible" r:id="rId4"/>
    <sheet xmlns:r="http://schemas.openxmlformats.org/officeDocument/2006/relationships" name="5 L arbitrage" sheetId="5" state="visible" r:id="rId5"/>
    <sheet xmlns:r="http://schemas.openxmlformats.org/officeDocument/2006/relationships" name="6 Maintenir ou reconstruire" sheetId="6" state="visible" r:id="rId6"/>
    <sheet xmlns:r="http://schemas.openxmlformats.org/officeDocument/2006/relationships" name="7 Controles" sheetId="7" state="visible" r:id="rId7"/>
  </sheets>
  <definedNames/>
  <calcPr calcId="124519" fullCalcOnLoad="1"/>
</workbook>
</file>

<file path=xl/styles.xml><?xml version="1.0" encoding="utf-8"?>
<styleSheet xmlns="http://schemas.openxmlformats.org/spreadsheetml/2006/main">
  <numFmts count="4">
    <numFmt numFmtId="164" formatCode="#,##0.0"/>
    <numFmt numFmtId="165" formatCode="0.0%"/>
    <numFmt numFmtId="166" formatCode="0.0&quot;x&quot;"/>
    <numFmt numFmtId="167" formatCode="0.00&quot;x&quot;"/>
  </numFmts>
  <fonts count="5">
    <font>
      <name val="Calibri"/>
      <family val="2"/>
      <color theme="1"/>
      <sz val="11"/>
      <scheme val="minor"/>
    </font>
    <font>
      <b val="1"/>
      <sz val="13"/>
    </font>
    <font>
      <i val="1"/>
      <color rgb="00666666"/>
      <sz val="9"/>
    </font>
    <font>
      <b val="1"/>
    </font>
    <font>
      <b val="1"/>
      <color rgb="00FFFFFF"/>
    </font>
  </fonts>
  <fills count="6">
    <fill>
      <patternFill/>
    </fill>
    <fill>
      <patternFill patternType="gray125"/>
    </fill>
    <fill>
      <patternFill patternType="solid">
        <fgColor rgb="00EDEDED"/>
      </patternFill>
    </fill>
    <fill>
      <patternFill patternType="solid">
        <fgColor rgb="00FFF2CC"/>
      </patternFill>
    </fill>
    <fill>
      <patternFill patternType="solid">
        <fgColor rgb="001B1F27"/>
      </patternFill>
    </fill>
    <fill>
      <patternFill patternType="solid">
        <fgColor rgb="00E2EFDA"/>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28">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2" borderId="0" pivotButton="0" quotePrefix="0" xfId="0"/>
    <xf numFmtId="164" fontId="0" fillId="3" borderId="1" pivotButton="0" quotePrefix="0" xfId="0"/>
    <xf numFmtId="3" fontId="0" fillId="3" borderId="1" pivotButton="0" quotePrefix="0" xfId="0"/>
    <xf numFmtId="165" fontId="0" fillId="3" borderId="1" pivotButton="0" quotePrefix="0" xfId="0"/>
    <xf numFmtId="0" fontId="4" fillId="4" borderId="0" applyAlignment="1" pivotButton="0" quotePrefix="0" xfId="0">
      <alignment horizontal="center" wrapText="1"/>
    </xf>
    <xf numFmtId="164" fontId="0" fillId="0" borderId="0" pivotButton="0" quotePrefix="0" xfId="0"/>
    <xf numFmtId="3" fontId="0" fillId="0" borderId="0" pivotButton="0" quotePrefix="0" xfId="0"/>
    <xf numFmtId="0" fontId="3" fillId="0" borderId="0" pivotButton="0" quotePrefix="0" xfId="0"/>
    <xf numFmtId="164" fontId="3" fillId="5" borderId="0" pivotButton="0" quotePrefix="0" xfId="0"/>
    <xf numFmtId="3" fontId="3" fillId="5" borderId="0" pivotButton="0" quotePrefix="0" xfId="0"/>
    <xf numFmtId="3" fontId="3" fillId="0" borderId="0" pivotButton="0" quotePrefix="0" xfId="0"/>
    <xf numFmtId="165" fontId="3" fillId="0" borderId="0" pivotButton="0" quotePrefix="0" xfId="0"/>
    <xf numFmtId="4" fontId="3" fillId="5" borderId="0" pivotButton="0" quotePrefix="0" xfId="0"/>
    <xf numFmtId="10" fontId="0" fillId="3" borderId="1" pivotButton="0" quotePrefix="0" xfId="0"/>
    <xf numFmtId="165" fontId="0" fillId="0" borderId="0" pivotButton="0" quotePrefix="0" xfId="0"/>
    <xf numFmtId="10" fontId="3" fillId="0" borderId="0" pivotButton="0" quotePrefix="0" xfId="0"/>
    <xf numFmtId="165" fontId="3" fillId="5" borderId="0" pivotButton="0" quotePrefix="0" xfId="0"/>
    <xf numFmtId="164" fontId="3" fillId="0" borderId="0" pivotButton="0" quotePrefix="0" xfId="0"/>
    <xf numFmtId="4" fontId="3" fillId="0" borderId="0" pivotButton="0" quotePrefix="0" xfId="0"/>
    <xf numFmtId="0" fontId="3" fillId="5" borderId="0" pivotButton="0" quotePrefix="0" xfId="0"/>
    <xf numFmtId="166" fontId="3" fillId="5" borderId="0" pivotButton="0" quotePrefix="0" xfId="0"/>
    <xf numFmtId="10" fontId="3" fillId="5" borderId="0" pivotButton="0" quotePrefix="0" xfId="0"/>
    <xf numFmtId="10" fontId="0" fillId="0" borderId="0" pivotButton="0" quotePrefix="0" xfId="0"/>
    <xf numFmtId="167"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3"/>
  <sheetViews>
    <sheetView showGridLines="0" workbookViewId="0">
      <pane ySplit="4" topLeftCell="A5" activePane="bottomLeft" state="frozen"/>
      <selection pane="bottomLeft" activeCell="A1" sqref="A1"/>
    </sheetView>
  </sheetViews>
  <sheetFormatPr baseColWidth="8" defaultRowHeight="15"/>
  <cols>
    <col width="52" customWidth="1" min="1" max="1"/>
    <col width="14" customWidth="1" min="2" max="2"/>
    <col width="3" customWidth="1" min="3" max="3"/>
    <col width="64" customWidth="1" min="4" max="4"/>
  </cols>
  <sheetData>
    <row r="1">
      <c r="A1" s="1" t="inlineStr">
        <is>
          <t>Les chiffres du livre, rassembles — et les quatre qu'il faut ajouter</t>
        </is>
      </c>
    </row>
    <row r="2">
      <c r="A2" s="2" t="inlineStr">
        <is>
          <t>Le livre compte des HEURES au chapitre 21 et des EUROS au chapitre 18, et ne convertit jamais les unes dans les autres. Ce classeur fait la conversion. Les cellules ambrees du premier bloc sont imprimees dans le livre ; celles du dernier bloc sont les seules a AJOUTER, et elles decrivent votre agence, pas la reglementation.</t>
        </is>
      </c>
    </row>
    <row r="4">
      <c r="A4" s="3" t="inlineStr">
        <is>
          <t>CHAPITRE 21 — LES HEURES DU PLAN DE 90 JOURS</t>
        </is>
      </c>
      <c r="B4" s="4" t="n"/>
      <c r="C4" s="4" t="n"/>
      <c r="D4" s="4" t="n"/>
    </row>
    <row r="5">
      <c r="A5" t="inlineStr">
        <is>
          <t>Phase 1, etat des lieux — bas</t>
        </is>
      </c>
      <c r="B5" s="5" t="n">
        <v>8</v>
      </c>
      <c r="D5" s="2" t="inlineStr">
        <is>
          <t>« huit a douze heures »</t>
        </is>
      </c>
    </row>
    <row r="6">
      <c r="A6" t="inlineStr">
        <is>
          <t>Phase 1, etat des lieux — haut</t>
        </is>
      </c>
      <c r="B6" s="5" t="n">
        <v>12</v>
      </c>
      <c r="D6" s="2" t="inlineStr"/>
    </row>
    <row r="7">
      <c r="A7" t="inlineStr">
        <is>
          <t>Phase 2, cartographie et procedures — bas</t>
        </is>
      </c>
      <c r="B7" s="5" t="n">
        <v>15</v>
      </c>
      <c r="D7" s="2" t="inlineStr">
        <is>
          <t>« quinze a vingt heures, dont sept a dix pour la cartographie »</t>
        </is>
      </c>
    </row>
    <row r="8">
      <c r="A8" t="inlineStr">
        <is>
          <t>Phase 2 — haut</t>
        </is>
      </c>
      <c r="B8" s="5" t="n">
        <v>20</v>
      </c>
      <c r="D8" s="2" t="inlineStr"/>
    </row>
    <row r="9">
      <c r="A9" t="inlineStr">
        <is>
          <t>Phase 2, dont cartographie seule — bas</t>
        </is>
      </c>
      <c r="B9" s="5" t="n">
        <v>7</v>
      </c>
      <c r="D9" s="2" t="inlineStr"/>
    </row>
    <row r="10">
      <c r="A10" t="inlineStr">
        <is>
          <t>Phase 2, dont cartographie seule — haut</t>
        </is>
      </c>
      <c r="B10" s="5" t="n">
        <v>10</v>
      </c>
      <c r="D10" s="2" t="inlineStr"/>
    </row>
    <row r="11">
      <c r="A11" t="inlineStr">
        <is>
          <t>Phase 3, pilotage hebdomadaire</t>
        </is>
      </c>
      <c r="B11" s="5" t="n">
        <v>2</v>
      </c>
      <c r="D11" s="2" t="inlineStr">
        <is>
          <t>« deux heures hebdomadaires de pilotage »</t>
        </is>
      </c>
    </row>
    <row r="12">
      <c r="A12" t="inlineStr">
        <is>
          <t>Phase 3, duree en jours</t>
        </is>
      </c>
      <c r="B12" s="6" t="n">
        <v>25</v>
      </c>
      <c r="D12" s="2" t="inlineStr">
        <is>
          <t>« sur vingt-cinq jours »</t>
        </is>
      </c>
    </row>
    <row r="13">
      <c r="A13" t="inlineStr">
        <is>
          <t>Phase 3, dossiers repris — bas</t>
        </is>
      </c>
      <c r="B13" s="6" t="n">
        <v>50</v>
      </c>
      <c r="D13" s="2" t="inlineStr">
        <is>
          <t>« cinquante a quatre-vingts dossiers »</t>
        </is>
      </c>
    </row>
    <row r="14">
      <c r="A14" t="inlineStr">
        <is>
          <t>Phase 3, dossiers repris — haut</t>
        </is>
      </c>
      <c r="B14" s="6" t="n">
        <v>80</v>
      </c>
      <c r="D14" s="2" t="inlineStr"/>
    </row>
    <row r="15">
      <c r="A15" t="inlineStr">
        <is>
          <t>Phase 3, minutes par dossier — bas</t>
        </is>
      </c>
      <c r="B15" s="5" t="n">
        <v>10</v>
      </c>
      <c r="D15" s="2" t="inlineStr">
        <is>
          <t>« dix a quinze minutes par dossier repris »</t>
        </is>
      </c>
    </row>
    <row r="16">
      <c r="A16" t="inlineStr">
        <is>
          <t>Phase 3, minutes par dossier — haut</t>
        </is>
      </c>
      <c r="B16" s="5" t="n">
        <v>15</v>
      </c>
      <c r="D16" s="2" t="inlineStr"/>
    </row>
    <row r="17">
      <c r="A17" t="inlineStr">
        <is>
          <t>Phase 4, formation et classeur — bas</t>
        </is>
      </c>
      <c r="B17" s="5" t="n">
        <v>12</v>
      </c>
      <c r="D17" s="2" t="inlineStr">
        <is>
          <t>« douze a dix-huit heures »</t>
        </is>
      </c>
    </row>
    <row r="18">
      <c r="A18" t="inlineStr">
        <is>
          <t>Phase 4 — haut</t>
        </is>
      </c>
      <c r="B18" s="5" t="n">
        <v>18</v>
      </c>
      <c r="D18" s="2" t="inlineStr"/>
    </row>
    <row r="19">
      <c r="A19" t="inlineStr">
        <is>
          <t>Maintenance, heures par trimestre</t>
        </is>
      </c>
      <c r="B19" s="5" t="n">
        <v>8</v>
      </c>
      <c r="D19" s="2" t="inlineStr">
        <is>
          <t>§ 851 : « huit heures par trimestre suffisent a le maintenir »</t>
        </is>
      </c>
    </row>
    <row r="21">
      <c r="A21" s="3" t="inlineStr">
        <is>
          <t>CHAPITRES 17 ET 18 — LES CHIFFRES DU CONTROLE ET DE LA SANCTION</t>
        </is>
      </c>
      <c r="B21" s="4" t="n"/>
      <c r="C21" s="4" t="n"/>
      <c r="D21" s="4" t="n"/>
    </row>
    <row r="22">
      <c r="A22" t="inlineStr">
        <is>
          <t>Agences controlees en 2024</t>
        </is>
      </c>
      <c r="B22" s="6" t="n">
        <v>1296</v>
      </c>
      <c r="D22" s="2" t="inlineStr">
        <is>
          <t>chapitre 17</t>
        </is>
      </c>
    </row>
    <row r="23">
      <c r="A23" t="inlineStr">
        <is>
          <t>Part des controles presentant des anomalies</t>
        </is>
      </c>
      <c r="B23" s="7" t="n">
        <v>0.65</v>
      </c>
      <c r="D23" s="2" t="inlineStr">
        <is>
          <t>chapitre 17 : « plus de 65 % »</t>
        </is>
      </c>
    </row>
    <row r="24">
      <c r="A24" t="inlineStr">
        <is>
          <t>Decisions de la CNS par an</t>
        </is>
      </c>
      <c r="B24" s="6" t="n">
        <v>50</v>
      </c>
      <c r="D24" s="2" t="inlineStr">
        <is>
          <t>« une cinquantaine par an »</t>
        </is>
      </c>
    </row>
    <row r="25">
      <c r="A25" t="inlineStr">
        <is>
          <t>Decisions 2021-2025</t>
        </is>
      </c>
      <c r="B25" s="6" t="n">
        <v>207</v>
      </c>
      <c r="D25" s="2" t="inlineStr">
        <is>
          <t>« environ 207 decisions »</t>
        </is>
      </c>
    </row>
    <row r="26">
      <c r="A26" t="inlineStr">
        <is>
          <t>Total des amendes 2021-2025</t>
        </is>
      </c>
      <c r="B26" s="6" t="n">
        <v>1900000</v>
      </c>
      <c r="D26" s="2" t="inlineStr">
        <is>
          <t>« de l'ordre de 1,9 million d'euros »</t>
        </is>
      </c>
    </row>
    <row r="27">
      <c r="A27" t="inlineStr">
        <is>
          <t>Amende moyenne 2025</t>
        </is>
      </c>
      <c r="B27" s="6" t="n">
        <v>23346</v>
      </c>
      <c r="D27" s="2" t="inlineStr">
        <is>
          <t>« une moyenne de 23 346 euros par decision »</t>
        </is>
      </c>
    </row>
    <row r="28">
      <c r="A28" t="inlineStr">
        <is>
          <t>Decisions immobilieres en 2023</t>
        </is>
      </c>
      <c r="B28" s="6" t="n">
        <v>28</v>
      </c>
      <c r="D28" s="2" t="inlineStr">
        <is>
          <t>« 28 decisions »</t>
        </is>
      </c>
    </row>
    <row r="29">
      <c r="A29" t="inlineStr">
        <is>
          <t>dont publications nominatives</t>
        </is>
      </c>
      <c r="B29" s="6" t="n">
        <v>15</v>
      </c>
      <c r="D29" s="2" t="inlineStr">
        <is>
          <t>« 15 publications nominatives »</t>
        </is>
      </c>
    </row>
    <row r="30">
      <c r="A30" t="inlineStr">
        <is>
          <t>Amende immobiliere 2023, personne morale — plancher</t>
        </is>
      </c>
      <c r="B30" s="6" t="n">
        <v>500</v>
      </c>
      <c r="D30" s="2" t="inlineStr">
        <is>
          <t>« comprises entre 500 et 50 000 euros »</t>
        </is>
      </c>
    </row>
    <row r="31">
      <c r="A31" t="inlineStr">
        <is>
          <t>Amende immobiliere 2023, personne morale — plafond</t>
        </is>
      </c>
      <c r="B31" s="6" t="n">
        <v>50000</v>
      </c>
      <c r="D31" s="2" t="inlineStr"/>
    </row>
    <row r="32">
      <c r="A32" t="inlineStr">
        <is>
          <t>Interdiction temporaire — plancher, mois</t>
        </is>
      </c>
      <c r="B32" s="6" t="n">
        <v>2</v>
      </c>
      <c r="D32" s="2" t="inlineStr">
        <is>
          <t>« de deux mois a un an, assorties du sursis »</t>
        </is>
      </c>
    </row>
    <row r="33">
      <c r="A33" t="inlineStr">
        <is>
          <t>Interdiction temporaire — plafond, mois</t>
        </is>
      </c>
      <c r="B33" s="6" t="n">
        <v>12</v>
      </c>
      <c r="D33" s="2" t="inlineStr"/>
    </row>
    <row r="34">
      <c r="A34" t="inlineStr">
        <is>
          <t>Plafond legal de l'amende</t>
        </is>
      </c>
      <c r="B34" s="6" t="n">
        <v>5000000</v>
      </c>
      <c r="D34" s="2" t="inlineStr">
        <is>
          <t>article L. 561-40</t>
        </is>
      </c>
    </row>
    <row r="36">
      <c r="A36" s="3" t="inlineStr">
        <is>
          <t>A AJOUTER — quatre chiffres qui decrivent VOTRE agence</t>
        </is>
      </c>
      <c r="B36" s="4" t="n"/>
      <c r="C36" s="4" t="n"/>
      <c r="D36" s="4" t="n"/>
    </row>
    <row r="37">
      <c r="A37" t="inlineStr">
        <is>
          <t>Cout horaire de direction</t>
        </is>
      </c>
      <c r="B37" s="6" t="n">
        <v>60</v>
      </c>
      <c r="D37" s="2" t="inlineStr">
        <is>
          <t>AJOUTE — ce que vaut une heure de votre temps</t>
        </is>
      </c>
    </row>
    <row r="38">
      <c r="A38" t="inlineStr">
        <is>
          <t>Duree de carriere consideree, annees</t>
        </is>
      </c>
      <c r="B38" s="6" t="n">
        <v>25</v>
      </c>
      <c r="D38" s="2" t="inlineStr">
        <is>
          <t>AJOUTE — le § 721 parle de « carriere »</t>
        </is>
      </c>
    </row>
    <row r="39">
      <c r="A39" t="inlineStr">
        <is>
          <t>Honoraires de defense devant la CNS</t>
        </is>
      </c>
      <c r="B39" s="6" t="n">
        <v>6000</v>
      </c>
      <c r="D39" s="2" t="inlineStr">
        <is>
          <t>AJOUTE — le § 722 les cite sans les chiffrer</t>
        </is>
      </c>
    </row>
    <row r="40">
      <c r="A40" t="inlineStr">
        <is>
          <t>Heures de direction absorbees par une procedure</t>
        </is>
      </c>
      <c r="B40" s="5" t="n">
        <v>40</v>
      </c>
      <c r="D40" s="2" t="inlineStr">
        <is>
          <t>AJOUTE — idem</t>
        </is>
      </c>
    </row>
    <row r="41">
      <c r="A41" t="inlineStr">
        <is>
          <t>Marge nette par mandat mene a terme</t>
        </is>
      </c>
      <c r="B41" s="6" t="n">
        <v>4500</v>
      </c>
      <c r="D41" s="2" t="inlineStr">
        <is>
          <t>AJOUTE — pour convertir la publication</t>
        </is>
      </c>
    </row>
    <row r="42">
      <c r="A42" t="inlineStr">
        <is>
          <t>Mandats perdus a la suite d'une publication</t>
        </is>
      </c>
      <c r="B42" s="5" t="n">
        <v>5</v>
      </c>
      <c r="D42" s="2" t="inlineStr">
        <is>
          <t>AJOUTE — l'hypothese a discuter</t>
        </is>
      </c>
    </row>
    <row r="43">
      <c r="A43" t="inlineStr">
        <is>
          <t>Marge nette mensuelle de l'agence</t>
        </is>
      </c>
      <c r="B43" s="6" t="n">
        <v>9000</v>
      </c>
      <c r="D43" s="2" t="inlineStr">
        <is>
          <t>AJOUTE — pour chiffrer l'interdiction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9"/>
  <sheetViews>
    <sheetView showGridLines="0" workbookViewId="0">
      <pane ySplit="4" topLeftCell="A5" activePane="bottomLeft" state="frozen"/>
      <selection pane="bottomLeft" activeCell="A1" sqref="A1"/>
    </sheetView>
  </sheetViews>
  <sheetFormatPr baseColWidth="8" defaultRowHeight="15"/>
  <cols>
    <col width="44" customWidth="1" min="1" max="1"/>
    <col width="14" customWidth="1" min="2" max="2"/>
    <col width="14" customWidth="1" min="3" max="3"/>
    <col width="16" customWidth="1" min="4" max="4"/>
    <col width="16" customWidth="1" min="5" max="5"/>
    <col width="3" customWidth="1" min="6" max="6"/>
    <col width="58" customWidth="1" min="7" max="7"/>
  </cols>
  <sheetData>
    <row r="1">
      <c r="A1" s="1" t="inlineStr">
        <is>
          <t>Les heures du chapitre 21, converties en euros</t>
        </is>
      </c>
    </row>
    <row r="2">
      <c r="A2" s="2" t="inlineStr">
        <is>
          <t>Le livre donne un temps realiste pour chacune des quatre phases et pour la maintenance. Il ne les additionne jamais, et il ne les convertit jamais. Les deux operations tiennent en dix lignes.</t>
        </is>
      </c>
    </row>
    <row r="4">
      <c r="A4" s="8" t="inlineStr">
        <is>
          <t>Phase</t>
        </is>
      </c>
      <c r="B4" s="8" t="inlineStr">
        <is>
          <t>Heures — bas</t>
        </is>
      </c>
      <c r="C4" s="8" t="inlineStr">
        <is>
          <t>Heures — haut</t>
        </is>
      </c>
      <c r="D4" s="8" t="inlineStr">
        <is>
          <t>Euros — bas</t>
        </is>
      </c>
      <c r="E4" s="8" t="inlineStr">
        <is>
          <t>Euros — haut</t>
        </is>
      </c>
    </row>
    <row r="5">
      <c r="A5" t="inlineStr">
        <is>
          <t>Jours 1 a 15 — etat des lieux</t>
        </is>
      </c>
      <c r="B5" s="9">
        <f>'1 Les chiffres du livre'!$B$5</f>
        <v/>
      </c>
      <c r="C5" s="9">
        <f>'1 Les chiffres du livre'!$B$6</f>
        <v/>
      </c>
      <c r="D5" s="10">
        <f>B5*'1 Les chiffres du livre'!$B$37</f>
        <v/>
      </c>
      <c r="E5" s="10">
        <f>C5*'1 Les chiffres du livre'!$B$37</f>
        <v/>
      </c>
    </row>
    <row r="6">
      <c r="A6" t="inlineStr">
        <is>
          <t>Jours 16 a 40 — cartographie et procedures</t>
        </is>
      </c>
      <c r="B6" s="9">
        <f>'1 Les chiffres du livre'!$B$7</f>
        <v/>
      </c>
      <c r="C6" s="9">
        <f>'1 Les chiffres du livre'!$B$8</f>
        <v/>
      </c>
      <c r="D6" s="10">
        <f>B6*'1 Les chiffres du livre'!$B$37</f>
        <v/>
      </c>
      <c r="E6" s="10">
        <f>C6*'1 Les chiffres du livre'!$B$37</f>
        <v/>
      </c>
    </row>
    <row r="7">
      <c r="A7" t="inlineStr">
        <is>
          <t>Jours 41 a 65 — pilotage</t>
        </is>
      </c>
      <c r="B7" s="9">
        <f>'1 Les chiffres du livre'!$B$11*'1 Les chiffres du livre'!$B$12/7</f>
        <v/>
      </c>
      <c r="C7" s="9">
        <f>'1 Les chiffres du livre'!$B$11*'1 Les chiffres du livre'!$B$12/7</f>
        <v/>
      </c>
      <c r="D7" s="10">
        <f>B7*'1 Les chiffres du livre'!$B$37</f>
        <v/>
      </c>
      <c r="E7" s="10">
        <f>C7*'1 Les chiffres du livre'!$B$37</f>
        <v/>
      </c>
    </row>
    <row r="8">
      <c r="A8" t="inlineStr">
        <is>
          <t>Jours 41 a 65 — reprise des dossiers</t>
        </is>
      </c>
      <c r="B8" s="9">
        <f>'1 Les chiffres du livre'!$B$13*'1 Les chiffres du livre'!$B$15/60</f>
        <v/>
      </c>
      <c r="C8" s="9">
        <f>'1 Les chiffres du livre'!$B$14*'1 Les chiffres du livre'!$B$16/60</f>
        <v/>
      </c>
      <c r="D8" s="10">
        <f>B8*'1 Les chiffres du livre'!$B$37</f>
        <v/>
      </c>
      <c r="E8" s="10">
        <f>C8*'1 Les chiffres du livre'!$B$37</f>
        <v/>
      </c>
    </row>
    <row r="9">
      <c r="A9" t="inlineStr">
        <is>
          <t>Jours 66 a 90 — formation et classeur</t>
        </is>
      </c>
      <c r="B9" s="9">
        <f>'1 Les chiffres du livre'!$B$17</f>
        <v/>
      </c>
      <c r="C9" s="9">
        <f>'1 Les chiffres du livre'!$B$18</f>
        <v/>
      </c>
      <c r="D9" s="10">
        <f>B9*'1 Les chiffres du livre'!$B$37</f>
        <v/>
      </c>
      <c r="E9" s="10">
        <f>C9*'1 Les chiffres du livre'!$B$37</f>
        <v/>
      </c>
    </row>
    <row r="10">
      <c r="A10" s="11" t="inlineStr">
        <is>
          <t>Construction, total</t>
        </is>
      </c>
      <c r="B10" s="12">
        <f>SUM(B5:B9)</f>
        <v/>
      </c>
      <c r="C10" s="12">
        <f>SUM(C5:C9)</f>
        <v/>
      </c>
      <c r="D10" s="13">
        <f>SUM(D5:D9)</f>
        <v/>
      </c>
      <c r="E10" s="13">
        <f>SUM(E5:E9)</f>
        <v/>
      </c>
    </row>
    <row r="12">
      <c r="A12" s="11" t="inlineStr">
        <is>
          <t>Maintenance, par an</t>
        </is>
      </c>
      <c r="B12" s="9">
        <f>'1 Les chiffres du livre'!$B$19*4</f>
        <v/>
      </c>
      <c r="C12" s="9">
        <f>'1 Les chiffres du livre'!$B$19*4</f>
        <v/>
      </c>
      <c r="D12" s="10">
        <f>B12*'1 Les chiffres du livre'!$B$37</f>
        <v/>
      </c>
      <c r="E12" s="10">
        <f>C12*'1 Les chiffres du livre'!$B$37</f>
        <v/>
      </c>
    </row>
    <row r="14">
      <c r="A14" t="inlineStr">
        <is>
          <t>Construction, en euros (fourchette haute)</t>
        </is>
      </c>
      <c r="B14" s="14">
        <f>E10</f>
        <v/>
      </c>
    </row>
    <row r="15">
      <c r="A15" t="inlineStr">
        <is>
          <t>Maintenance, en euros par an</t>
        </is>
      </c>
      <c r="B15" s="14">
        <f>E12</f>
        <v/>
      </c>
    </row>
    <row r="16">
      <c r="A16" t="inlineStr">
        <is>
          <t>Cout total sur la carriere</t>
        </is>
      </c>
      <c r="B16" s="13">
        <f>E10+'1 Les chiffres du livre'!$B$38*E12</f>
        <v/>
      </c>
      <c r="G16" s="2" t="inlineStr">
        <is>
          <t>C'est le chiffre que le livre ne donne jamais : ce que coute reellement un dispositif conforme, entretenu, sur la duree d'une carriere.</t>
        </is>
      </c>
    </row>
    <row r="17">
      <c r="A17" t="inlineStr">
        <is>
          <t>dont construction</t>
        </is>
      </c>
      <c r="B17" s="15">
        <f>E10/B16</f>
        <v/>
      </c>
    </row>
    <row r="18">
      <c r="A18" t="inlineStr">
        <is>
          <t>dont maintenance</t>
        </is>
      </c>
      <c r="B18" s="15">
        <f>1-B17</f>
        <v/>
      </c>
    </row>
    <row r="19">
      <c r="A19" t="inlineStr">
        <is>
          <t>Annees de maintenance qui egalent une construction</t>
        </is>
      </c>
      <c r="B19" s="16">
        <f>E10/E12</f>
        <v/>
      </c>
      <c r="G19" s="2" t="inlineStr">
        <is>
          <t>⚠ Le § 851 invoque « l'ecart de cout » entre construire et maintenir pour conclure qu'il n'y a aucune raison de laisser un dispositif se perimer. Passe ce nombre d'annees, l'ecart s'est inverse : la maintenance a coute plus cher que la reconstruction. La bonne raison de maintenir n'est pas le cout, c'est que le risque, lui, est continu.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22"/>
  <sheetViews>
    <sheetView showGridLines="0" workbookViewId="0">
      <pane ySplit="4" topLeftCell="A5" activePane="bottomLeft" state="frozen"/>
      <selection pane="bottomLeft" activeCell="A1" sqref="A1"/>
    </sheetView>
  </sheetViews>
  <sheetFormatPr baseColWidth="8" defaultRowHeight="15"/>
  <cols>
    <col width="26" customWidth="1" min="1" max="1"/>
    <col width="12" customWidth="1" min="2" max="2"/>
    <col width="12" customWidth="1" min="3" max="3"/>
    <col width="12" customWidth="1" min="4" max="4"/>
    <col width="12" customWidth="1" min="5" max="5"/>
    <col width="12" customWidth="1" min="6" max="6"/>
    <col width="12" customWidth="1" min="7" max="7"/>
    <col width="12" customWidth="1" min="8" max="8"/>
    <col width="3" customWidth="1" min="10" max="10"/>
    <col width="56" customWidth="1" min="11" max="11"/>
  </cols>
  <sheetData>
    <row r="1">
      <c r="A1" s="1" t="inlineStr">
        <is>
          <t>La probabilite cumulee sur une carriere — le calcul que le § 721 nomme</t>
        </is>
      </c>
    </row>
    <row r="2">
      <c r="A2" s="2" t="inlineStr">
        <is>
          <t>« Le professionnel qui se rassure en se disant que cela n'arrive jamais confond une probabilite annuelle faible avec une probabilite cumulee sur une carriere. » Le livre nomme ce calcul et ne le fait pas. Il tient en une formule : un moins un moins p, puissance le nombre d'annees.</t>
        </is>
      </c>
    </row>
    <row r="4">
      <c r="A4" s="8" t="inlineStr">
        <is>
          <t>Probabilite annuelle</t>
        </is>
      </c>
      <c r="B4" s="8" t="inlineStr">
        <is>
          <t>5 ans</t>
        </is>
      </c>
      <c r="C4" s="8" t="inlineStr">
        <is>
          <t>10 ans</t>
        </is>
      </c>
      <c r="D4" s="8" t="inlineStr">
        <is>
          <t>15 ans</t>
        </is>
      </c>
      <c r="E4" s="8" t="inlineStr">
        <is>
          <t>20 ans</t>
        </is>
      </c>
      <c r="F4" s="8" t="inlineStr">
        <is>
          <t>25 ans</t>
        </is>
      </c>
      <c r="G4" s="8" t="inlineStr">
        <is>
          <t>30 ans</t>
        </is>
      </c>
      <c r="H4" s="8" t="inlineStr">
        <is>
          <t>35 ans</t>
        </is>
      </c>
    </row>
    <row r="5">
      <c r="A5" s="17" t="n">
        <v>0.005</v>
      </c>
      <c r="B5" s="18">
        <f>1-(1-$A$5)^5</f>
        <v/>
      </c>
      <c r="C5" s="18">
        <f>1-(1-$A$5)^10</f>
        <v/>
      </c>
      <c r="D5" s="18">
        <f>1-(1-$A$5)^15</f>
        <v/>
      </c>
      <c r="E5" s="18">
        <f>1-(1-$A$5)^20</f>
        <v/>
      </c>
      <c r="F5" s="18">
        <f>1-(1-$A$5)^25</f>
        <v/>
      </c>
      <c r="G5" s="18">
        <f>1-(1-$A$5)^30</f>
        <v/>
      </c>
      <c r="H5" s="18">
        <f>1-(1-$A$5)^35</f>
        <v/>
      </c>
    </row>
    <row r="6">
      <c r="A6" s="17" t="n">
        <v>0.0075</v>
      </c>
      <c r="B6" s="18">
        <f>1-(1-$A$6)^5</f>
        <v/>
      </c>
      <c r="C6" s="18">
        <f>1-(1-$A$6)^10</f>
        <v/>
      </c>
      <c r="D6" s="18">
        <f>1-(1-$A$6)^15</f>
        <v/>
      </c>
      <c r="E6" s="18">
        <f>1-(1-$A$6)^20</f>
        <v/>
      </c>
      <c r="F6" s="18">
        <f>1-(1-$A$6)^25</f>
        <v/>
      </c>
      <c r="G6" s="18">
        <f>1-(1-$A$6)^30</f>
        <v/>
      </c>
      <c r="H6" s="18">
        <f>1-(1-$A$6)^35</f>
        <v/>
      </c>
    </row>
    <row r="7">
      <c r="A7" s="17" t="n">
        <v>0.01</v>
      </c>
      <c r="B7" s="18">
        <f>1-(1-$A$7)^5</f>
        <v/>
      </c>
      <c r="C7" s="18">
        <f>1-(1-$A$7)^10</f>
        <v/>
      </c>
      <c r="D7" s="18">
        <f>1-(1-$A$7)^15</f>
        <v/>
      </c>
      <c r="E7" s="18">
        <f>1-(1-$A$7)^20</f>
        <v/>
      </c>
      <c r="F7" s="18">
        <f>1-(1-$A$7)^25</f>
        <v/>
      </c>
      <c r="G7" s="18">
        <f>1-(1-$A$7)^30</f>
        <v/>
      </c>
      <c r="H7" s="18">
        <f>1-(1-$A$7)^35</f>
        <v/>
      </c>
    </row>
    <row r="8">
      <c r="A8" s="17" t="n">
        <v>0.015</v>
      </c>
      <c r="B8" s="18">
        <f>1-(1-$A$8)^5</f>
        <v/>
      </c>
      <c r="C8" s="18">
        <f>1-(1-$A$8)^10</f>
        <v/>
      </c>
      <c r="D8" s="18">
        <f>1-(1-$A$8)^15</f>
        <v/>
      </c>
      <c r="E8" s="18">
        <f>1-(1-$A$8)^20</f>
        <v/>
      </c>
      <c r="F8" s="18">
        <f>1-(1-$A$8)^25</f>
        <v/>
      </c>
      <c r="G8" s="18">
        <f>1-(1-$A$8)^30</f>
        <v/>
      </c>
      <c r="H8" s="18">
        <f>1-(1-$A$8)^35</f>
        <v/>
      </c>
    </row>
    <row r="9">
      <c r="A9" s="17" t="n">
        <v>0.02</v>
      </c>
      <c r="B9" s="18">
        <f>1-(1-$A$9)^5</f>
        <v/>
      </c>
      <c r="C9" s="18">
        <f>1-(1-$A$9)^10</f>
        <v/>
      </c>
      <c r="D9" s="18">
        <f>1-(1-$A$9)^15</f>
        <v/>
      </c>
      <c r="E9" s="18">
        <f>1-(1-$A$9)^20</f>
        <v/>
      </c>
      <c r="F9" s="18">
        <f>1-(1-$A$9)^25</f>
        <v/>
      </c>
      <c r="G9" s="18">
        <f>1-(1-$A$9)^30</f>
        <v/>
      </c>
      <c r="H9" s="18">
        <f>1-(1-$A$9)^35</f>
        <v/>
      </c>
    </row>
    <row r="10">
      <c r="A10" s="17" t="n">
        <v>0.025</v>
      </c>
      <c r="B10" s="18">
        <f>1-(1-$A$10)^5</f>
        <v/>
      </c>
      <c r="C10" s="18">
        <f>1-(1-$A$10)^10</f>
        <v/>
      </c>
      <c r="D10" s="18">
        <f>1-(1-$A$10)^15</f>
        <v/>
      </c>
      <c r="E10" s="18">
        <f>1-(1-$A$10)^20</f>
        <v/>
      </c>
      <c r="F10" s="18">
        <f>1-(1-$A$10)^25</f>
        <v/>
      </c>
      <c r="G10" s="18">
        <f>1-(1-$A$10)^30</f>
        <v/>
      </c>
      <c r="H10" s="18">
        <f>1-(1-$A$10)^35</f>
        <v/>
      </c>
    </row>
    <row r="11">
      <c r="A11" s="17" t="n">
        <v>0.03</v>
      </c>
      <c r="B11" s="18">
        <f>1-(1-$A$11)^5</f>
        <v/>
      </c>
      <c r="C11" s="18">
        <f>1-(1-$A$11)^10</f>
        <v/>
      </c>
      <c r="D11" s="18">
        <f>1-(1-$A$11)^15</f>
        <v/>
      </c>
      <c r="E11" s="18">
        <f>1-(1-$A$11)^20</f>
        <v/>
      </c>
      <c r="F11" s="18">
        <f>1-(1-$A$11)^25</f>
        <v/>
      </c>
      <c r="G11" s="18">
        <f>1-(1-$A$11)^30</f>
        <v/>
      </c>
      <c r="H11" s="18">
        <f>1-(1-$A$11)^35</f>
        <v/>
      </c>
    </row>
    <row r="12">
      <c r="A12" s="17" t="n">
        <v>0.04</v>
      </c>
      <c r="B12" s="18">
        <f>1-(1-$A$12)^5</f>
        <v/>
      </c>
      <c r="C12" s="18">
        <f>1-(1-$A$12)^10</f>
        <v/>
      </c>
      <c r="D12" s="18">
        <f>1-(1-$A$12)^15</f>
        <v/>
      </c>
      <c r="E12" s="18">
        <f>1-(1-$A$12)^20</f>
        <v/>
      </c>
      <c r="F12" s="18">
        <f>1-(1-$A$12)^25</f>
        <v/>
      </c>
      <c r="G12" s="18">
        <f>1-(1-$A$12)^30</f>
        <v/>
      </c>
      <c r="H12" s="18">
        <f>1-(1-$A$12)^35</f>
        <v/>
      </c>
    </row>
    <row r="13">
      <c r="A13" s="17" t="n">
        <v>0.0481</v>
      </c>
      <c r="B13" s="18">
        <f>1-(1-$A$13)^5</f>
        <v/>
      </c>
      <c r="C13" s="18">
        <f>1-(1-$A$13)^10</f>
        <v/>
      </c>
      <c r="D13" s="18">
        <f>1-(1-$A$13)^15</f>
        <v/>
      </c>
      <c r="E13" s="18">
        <f>1-(1-$A$13)^20</f>
        <v/>
      </c>
      <c r="F13" s="18">
        <f>1-(1-$A$13)^25</f>
        <v/>
      </c>
      <c r="G13" s="18">
        <f>1-(1-$A$13)^30</f>
        <v/>
      </c>
      <c r="H13" s="18">
        <f>1-(1-$A$13)^35</f>
        <v/>
      </c>
    </row>
    <row r="14">
      <c r="A14" s="17" t="n">
        <v>0.05</v>
      </c>
      <c r="B14" s="18">
        <f>1-(1-$A$14)^5</f>
        <v/>
      </c>
      <c r="C14" s="18">
        <f>1-(1-$A$14)^10</f>
        <v/>
      </c>
      <c r="D14" s="18">
        <f>1-(1-$A$14)^15</f>
        <v/>
      </c>
      <c r="E14" s="18">
        <f>1-(1-$A$14)^20</f>
        <v/>
      </c>
      <c r="F14" s="18">
        <f>1-(1-$A$14)^25</f>
        <v/>
      </c>
      <c r="G14" s="18">
        <f>1-(1-$A$14)^30</f>
        <v/>
      </c>
      <c r="H14" s="18">
        <f>1-(1-$A$14)^35</f>
        <v/>
      </c>
    </row>
    <row r="15">
      <c r="A15" s="17" t="n">
        <v>0.075</v>
      </c>
      <c r="B15" s="18">
        <f>1-(1-$A$15)^5</f>
        <v/>
      </c>
      <c r="C15" s="18">
        <f>1-(1-$A$15)^10</f>
        <v/>
      </c>
      <c r="D15" s="18">
        <f>1-(1-$A$15)^15</f>
        <v/>
      </c>
      <c r="E15" s="18">
        <f>1-(1-$A$15)^20</f>
        <v/>
      </c>
      <c r="F15" s="18">
        <f>1-(1-$A$15)^25</f>
        <v/>
      </c>
      <c r="G15" s="18">
        <f>1-(1-$A$15)^30</f>
        <v/>
      </c>
      <c r="H15" s="18">
        <f>1-(1-$A$15)^35</f>
        <v/>
      </c>
    </row>
    <row r="16">
      <c r="A16" s="17" t="n">
        <v>0.1</v>
      </c>
      <c r="B16" s="18">
        <f>1-(1-$A$16)^5</f>
        <v/>
      </c>
      <c r="C16" s="18">
        <f>1-(1-$A$16)^10</f>
        <v/>
      </c>
      <c r="D16" s="18">
        <f>1-(1-$A$16)^15</f>
        <v/>
      </c>
      <c r="E16" s="18">
        <f>1-(1-$A$16)^20</f>
        <v/>
      </c>
      <c r="F16" s="18">
        <f>1-(1-$A$16)^25</f>
        <v/>
      </c>
      <c r="G16" s="18">
        <f>1-(1-$A$16)^30</f>
        <v/>
      </c>
      <c r="H16" s="18">
        <f>1-(1-$A$16)^35</f>
        <v/>
      </c>
    </row>
    <row r="19">
      <c r="A19" t="inlineStr">
        <is>
          <t>Probabilite annuelle au point mort (feuille 5)</t>
        </is>
      </c>
      <c r="B19" s="19">
        <f>'5 L arbitrage'!B12</f>
        <v/>
      </c>
      <c r="K19" s="2" t="inlineStr">
        <is>
          <t>Une probabilite annuelle de quelques pour cent, que tout le monde arrondit a zero, devient sur une carriere entiere un evenement dont on ne peut plus dire qu'il n'arrive jamais. C'est exactement ce que le § 721 reproche au lecteur, sans le montrer.</t>
        </is>
      </c>
    </row>
    <row r="20">
      <c r="A20" t="inlineStr">
        <is>
          <t>Sa probabilite cumulee sur la carriere</t>
        </is>
      </c>
      <c r="B20" s="20">
        <f>1-(1-B19)^'1 Les chiffres du livre'!$B$38</f>
        <v/>
      </c>
    </row>
    <row r="21">
      <c r="A21" t="inlineStr">
        <is>
          <t>Annees pour atteindre une chance sur deux</t>
        </is>
      </c>
      <c r="B21" s="21">
        <f>LN(0.5)/LN(1-B19)</f>
        <v/>
      </c>
    </row>
    <row r="22">
      <c r="A22" t="inlineStr">
        <is>
          <t>Annees pour atteindre une chance sur quatre</t>
        </is>
      </c>
      <c r="B22" s="21">
        <f>LN(0.75)/LN(1-B19)</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showGridLines="0" workbookViewId="0">
      <pane ySplit="4" topLeftCell="A5" activePane="bottomLeft" state="frozen"/>
      <selection pane="bottomLeft" activeCell="A1" sqref="A1"/>
    </sheetView>
  </sheetViews>
  <sheetFormatPr baseColWidth="8" defaultRowHeight="15"/>
  <cols>
    <col width="44" customWidth="1" min="1" max="1"/>
    <col width="16" customWidth="1" min="2" max="2"/>
    <col width="16" customWidth="1" min="3" max="3"/>
    <col width="3" customWidth="1" min="4" max="4"/>
    <col width="60" customWidth="1" min="5" max="5"/>
  </cols>
  <sheetData>
    <row r="1">
      <c r="A1" s="1" t="inlineStr">
        <is>
          <t>Les cinq lignes du § 722, chiffrees</t>
        </is>
      </c>
    </row>
    <row r="2">
      <c r="A2" s="2" t="inlineStr">
        <is>
          <t>« Le cout reel se compose de l'amende, du temps de direction absorbe par la procedure, des honoraires de defense, de l'interdiction eventuelle et de la publication nominative — cette derniere etant, dans la plupart des cas, la ligne la plus chere du total. » Le livre enumere cinq lignes, les classe, designe la plus chere, et n'en chiffre aucune.</t>
        </is>
      </c>
    </row>
    <row r="4">
      <c r="A4" s="8" t="inlineStr">
        <is>
          <t>Ligne</t>
        </is>
      </c>
      <c r="B4" s="8" t="inlineStr">
        <is>
          <t>Montant</t>
        </is>
      </c>
      <c r="C4" s="8" t="inlineStr">
        <is>
          <t>Part du total</t>
        </is>
      </c>
    </row>
    <row r="5">
      <c r="A5" t="inlineStr">
        <is>
          <t>Amende (moyenne 2025)</t>
        </is>
      </c>
      <c r="B5" s="10">
        <f>'1 Les chiffres du livre'!$B$27</f>
        <v/>
      </c>
      <c r="C5" s="18">
        <f>B5/$B$10</f>
        <v/>
      </c>
    </row>
    <row r="6">
      <c r="A6" t="inlineStr">
        <is>
          <t>Temps de direction absorbe</t>
        </is>
      </c>
      <c r="B6" s="10">
        <f>'1 Les chiffres du livre'!$B$40*'1 Les chiffres du livre'!$B$37</f>
        <v/>
      </c>
      <c r="C6" s="18">
        <f>B6/$B$10</f>
        <v/>
      </c>
    </row>
    <row r="7">
      <c r="A7" t="inlineStr">
        <is>
          <t>Honoraires de defense</t>
        </is>
      </c>
      <c r="B7" s="10">
        <f>'1 Les chiffres du livre'!$B$39</f>
        <v/>
      </c>
      <c r="C7" s="18">
        <f>B7/$B$10</f>
        <v/>
      </c>
    </row>
    <row r="8">
      <c r="A8" t="inlineStr">
        <is>
          <t>Publication nominative, si elle est prononcee</t>
        </is>
      </c>
      <c r="B8" s="10">
        <f>'1 Les chiffres du livre'!$B$42*'1 Les chiffres du livre'!$B$41</f>
        <v/>
      </c>
      <c r="C8" s="18">
        <f>B8/$B$10</f>
        <v/>
      </c>
    </row>
    <row r="9">
      <c r="A9" t="inlineStr">
        <is>
          <t>Interdiction temporaire, plancher du bareme 2023</t>
        </is>
      </c>
      <c r="B9" s="10">
        <f>'1 Les chiffres du livre'!$B$32*'1 Les chiffres du livre'!$B$43</f>
        <v/>
      </c>
      <c r="C9" s="18">
        <f>B9/$B$10</f>
        <v/>
      </c>
    </row>
    <row r="10">
      <c r="A10" s="11" t="inlineStr">
        <is>
          <t>Total, si tout est prononce</t>
        </is>
      </c>
      <c r="B10" s="13">
        <f>SUM(B5:B9)</f>
        <v/>
      </c>
    </row>
    <row r="12">
      <c r="A12" t="inlineStr">
        <is>
          <t>Part des decisions immobilieres 2023 assorties d'une publication</t>
        </is>
      </c>
      <c r="B12" s="15">
        <f>'1 Les chiffres du livre'!$B$29/'1 Les chiffres du livre'!$B$28</f>
        <v/>
      </c>
    </row>
    <row r="13">
      <c r="A13" t="inlineStr">
        <is>
          <t>Cout espere d'une sanction, publication ponderee, hors interdiction</t>
        </is>
      </c>
      <c r="B13" s="14">
        <f>B5+B6+B7+B12*B8</f>
        <v/>
      </c>
      <c r="E13" s="2" t="inlineStr">
        <is>
          <t>C'est ce chiffre, et non l'amende seule, qu'il faut mettre en face du cout du dispositif.</t>
        </is>
      </c>
    </row>
    <row r="14">
      <c r="A14" t="inlineStr">
        <is>
          <t>Mandats a perdre pour egaler l'amende moyenne</t>
        </is>
      </c>
      <c r="B14" s="22">
        <f>'1 Les chiffres du livre'!$B$27/'1 Les chiffres du livre'!$B$41</f>
        <v/>
      </c>
    </row>
    <row r="15">
      <c r="A15" t="inlineStr">
        <is>
          <t>La publication depasse-t-elle l'amende ?</t>
        </is>
      </c>
      <c r="B15" s="23">
        <f>IF(B8&gt;B5,"OUI","NON")</f>
        <v/>
      </c>
      <c r="E15" s="2" t="inlineStr">
        <is>
          <t>Le livre a raison de designer la publication comme la ligne la plus chere — mais seulement si l'on accepte de compter les mandats qu'elle fait perdre. Cinq mandats suffisent a egaler l'amende moyenne. Le nombre reel n'est pas connaissable ; ce qui l'est, c'est le seuil.</t>
        </is>
      </c>
    </row>
    <row r="16">
      <c r="A16" t="inlineStr">
        <is>
          <t>Marge mensuelle a partir de laquelle 2 mois d'interdiction depassent l'amende la plus lourde du bareme 2023</t>
        </is>
      </c>
      <c r="B16" s="14">
        <f>'1 Les chiffres du livre'!$B$31/'1 Les chiffres du livre'!$B$32</f>
        <v/>
      </c>
    </row>
    <row r="17">
      <c r="A17" t="inlineStr">
        <is>
          <t>La marge de l'agence saisie</t>
        </is>
      </c>
      <c r="B17" s="14">
        <f>'1 Les chiffres du livre'!$B$43</f>
        <v/>
      </c>
    </row>
    <row r="18">
      <c r="A18" t="inlineStr">
        <is>
          <t>Une interdiction de 6 mois coute</t>
        </is>
      </c>
      <c r="B18" s="14">
        <f>6*'1 Les chiffres du livre'!$B$43</f>
        <v/>
      </c>
    </row>
    <row r="19">
      <c r="A19" t="inlineStr">
        <is>
          <t>soit, rapporte a l'amende la plus lourde du bareme</t>
        </is>
      </c>
      <c r="B19" s="24">
        <f>B18/'1 Les chiffres du livre'!$B$31</f>
        <v/>
      </c>
      <c r="E19" s="2" t="inlineStr">
        <is>
          <t>Et l'interdiction, meme au plancher du bareme immobilier 2023, ecrase tout le reste des qu'une agence a une activite normale. C'est ce que dit le § 717 — « quelques mois sans pouvoir exercer suffisent a detruire un fonds de commerce » — sans le chiffrer. Rappel : en 2023 ces interdictions etaient assorties du sursis.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5"/>
  <sheetViews>
    <sheetView showGridLines="0" workbookViewId="0">
      <pane ySplit="4" topLeftCell="A5" activePane="bottomLeft" state="frozen"/>
      <selection pane="bottomLeft" activeCell="A1" sqref="A1"/>
    </sheetView>
  </sheetViews>
  <sheetFormatPr baseColWidth="8" defaultRowHeight="15"/>
  <cols>
    <col width="56" customWidth="1" min="1" max="1"/>
    <col width="16" customWidth="1" min="2" max="2"/>
    <col width="3" customWidth="1" min="3" max="3"/>
    <col width="62" customWidth="1" min="4" max="4"/>
  </cols>
  <sheetData>
    <row r="1">
      <c r="A1" s="1" t="inlineStr">
        <is>
          <t>L'arbitrage, pose franchement</t>
        </is>
      </c>
    </row>
    <row r="2">
      <c r="A2" s="2" t="inlineStr">
        <is>
          <t>Le livre affirme que le dispositif se justifie. Voici ce que dit l'arithmetique seule — et pourquoi elle ne suffit pas, ce qui est la vraie lecon.</t>
        </is>
      </c>
    </row>
    <row r="4">
      <c r="A4" s="3" t="inlineStr">
        <is>
          <t>CE QUE COUTE LE DISPOSITIF, CE QUE COUTE UNE SANCTION</t>
        </is>
      </c>
      <c r="B4" s="4" t="n"/>
      <c r="C4" s="4" t="n"/>
      <c r="D4" s="4" t="n"/>
    </row>
    <row r="5">
      <c r="A5" t="inlineStr">
        <is>
          <t>Cout du dispositif sur la carriere</t>
        </is>
      </c>
      <c r="B5" s="14">
        <f>'2 Les heures converties'!B16</f>
        <v/>
      </c>
    </row>
    <row r="6">
      <c r="A6" t="inlineStr">
        <is>
          <t>Cout du dispositif, par an</t>
        </is>
      </c>
      <c r="B6" s="14">
        <f>B5/'1 Les chiffres du livre'!$B$38</f>
        <v/>
      </c>
    </row>
    <row r="7">
      <c r="A7" t="inlineStr">
        <is>
          <t>Cout espere d'une sanction (feuille 4, hors interdiction)</t>
        </is>
      </c>
      <c r="B7" s="14">
        <f>'4 Les cinq lignes'!B13</f>
        <v/>
      </c>
    </row>
    <row r="8">
      <c r="A8" t="inlineStr">
        <is>
          <t>Nombre de sanctions qu'il faudrait subir pour que le dispositif se paie</t>
        </is>
      </c>
      <c r="B8" s="16">
        <f>B5/B7</f>
        <v/>
      </c>
      <c r="D8" s="2" t="inlineStr">
        <is>
          <t>Plus d'une. Sur l'esperance mathematique de l'amende seule, le plan de 90 jours ne se paie donc PAS — et c'est precisement pourquoi l'argument du livre ne peut pas reposer sur l'amende.</t>
        </is>
      </c>
    </row>
    <row r="9">
      <c r="A9" t="inlineStr">
        <is>
          <t>Probabilite ANNUELLE de sanction au point mort</t>
        </is>
      </c>
      <c r="B9" s="25">
        <f>B6/B7</f>
        <v/>
      </c>
    </row>
    <row r="10">
      <c r="A10" t="inlineStr">
        <is>
          <t>soit une sanction tous les ... ans</t>
        </is>
      </c>
      <c r="B10" s="21">
        <f>1/B9</f>
        <v/>
      </c>
    </row>
    <row r="12">
      <c r="A12" s="11" t="inlineStr">
        <is>
          <t>Probabilite annuelle au point mort (report)</t>
        </is>
      </c>
      <c r="B12" s="26">
        <f>B9</f>
        <v/>
      </c>
    </row>
    <row r="14">
      <c r="A14" s="3" t="inlineStr">
        <is>
          <t>AVEC L'INTERDICTION, TOUT CHANGE</t>
        </is>
      </c>
      <c r="B14" s="4" t="n"/>
      <c r="C14" s="4" t="n"/>
      <c r="D14" s="4" t="n"/>
    </row>
    <row r="15">
      <c r="A15" t="inlineStr">
        <is>
          <t>Cout d'une interdiction de 6 mois</t>
        </is>
      </c>
      <c r="B15" s="14">
        <f>6*'1 Les chiffres du livre'!$B$43</f>
        <v/>
      </c>
    </row>
    <row r="16">
      <c r="A16" t="inlineStr">
        <is>
          <t>Cout espere d'une sanction, interdiction comprise</t>
        </is>
      </c>
      <c r="B16" s="14">
        <f>'4 Les cinq lignes'!B13+B15</f>
        <v/>
      </c>
    </row>
    <row r="17">
      <c r="A17" t="inlineStr">
        <is>
          <t>Sanctions necessaires pour que le dispositif se paie</t>
        </is>
      </c>
      <c r="B17" s="16">
        <f>B5/B16</f>
        <v/>
      </c>
      <c r="D17" s="2" t="inlineStr">
        <is>
          <t>Moins d'une. Des que l'interdiction entre dans le calcul, une seule sanction dans toute une carriere suffit a rendre le dispositif rentable. C'est la demonstration de ce que le livre affirme au § 717 sans le montrer.</t>
        </is>
      </c>
    </row>
    <row r="18">
      <c r="A18" t="inlineStr">
        <is>
          <t>Probabilite annuelle au point mort</t>
        </is>
      </c>
      <c r="B18" s="25">
        <f>B6/B16</f>
        <v/>
      </c>
    </row>
    <row r="19">
      <c r="A19" t="inlineStr">
        <is>
          <t>soit une sanction tous les ... ans</t>
        </is>
      </c>
      <c r="B19" s="21">
        <f>1/B18</f>
        <v/>
      </c>
    </row>
    <row r="21">
      <c r="A21" s="3" t="inlineStr">
        <is>
          <t>CE QUE L'ARITHMETIQUE NE PEUT PAS TRANCHER</t>
        </is>
      </c>
      <c r="B21" s="4" t="n"/>
      <c r="C21" s="4" t="n"/>
      <c r="D21" s="4" t="n"/>
    </row>
    <row r="22">
      <c r="A22" t="inlineStr">
        <is>
          <t>Agences controlees en 2024 (chapitre 17)</t>
        </is>
      </c>
      <c r="B22" s="10">
        <f>'1 Les chiffres du livre'!$B$22</f>
        <v/>
      </c>
    </row>
    <row r="23">
      <c r="A23" t="inlineStr">
        <is>
          <t>Nombre d'agences en France — LE LIVRE NE LE DONNE PAS</t>
        </is>
      </c>
      <c r="B23" s="6" t="n">
        <v>26000</v>
      </c>
      <c r="D23" s="2" t="inlineStr">
        <is>
          <t>⚠ C'est le seul chiffre du raisonnement que le livre ne fournit pas, et il commande tout. Remplacez-le par le nombre de titulaires de la carte professionnelle a la date ou vous lisez, et la ligne du dessous devient votre probabilite de controle.</t>
        </is>
      </c>
    </row>
    <row r="24">
      <c r="A24" s="11" t="inlineStr">
        <is>
          <t>Probabilite annuelle de controle qui en decoule</t>
        </is>
      </c>
      <c r="B24" s="19">
        <f>B22/B23</f>
        <v/>
      </c>
    </row>
    <row r="25">
      <c r="A25" s="11" t="inlineStr">
        <is>
          <t>Rapportee au point mort de la ligne 18</t>
        </is>
      </c>
      <c r="B25" s="27">
        <f>B24/B18</f>
        <v/>
      </c>
      <c r="D25" s="2" t="inlineStr">
        <is>
          <t>Au-dessus de 1, le dispositif se paie sur la seule esperance mathematique. En dessous, il ne se justifie que par ce que l'arithmetique ne capte pas : la publication, la carte professionnelle, et le fait qu'un controle constate une absence au jour ou il a lieu — pas au jour ou vous auriez rattrape.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6"/>
  <sheetViews>
    <sheetView showGridLines="0" workbookViewId="0">
      <pane ySplit="4" topLeftCell="A5" activePane="bottomLeft" state="frozen"/>
      <selection pane="bottomLeft" activeCell="A1" sqref="A1"/>
    </sheetView>
  </sheetViews>
  <sheetFormatPr baseColWidth="8" defaultRowHeight="15"/>
  <cols>
    <col width="20" customWidth="1" min="1" max="1"/>
    <col width="20" customWidth="1" min="2" max="2"/>
    <col width="22" customWidth="1" min="3" max="3"/>
    <col width="22" customWidth="1" min="4" max="4"/>
    <col width="20" customWidth="1" min="5" max="5"/>
    <col width="3" customWidth="1" min="6" max="6"/>
    <col width="58" customWidth="1" min="7" max="7"/>
  </cols>
  <sheetData>
    <row r="1">
      <c r="A1" s="1" t="inlineStr">
        <is>
          <t>Maintenir ou reconstruire : l'ecart de cout que le § 851 invoque</t>
        </is>
      </c>
    </row>
    <row r="2">
      <c r="A2" s="2" t="inlineStr">
        <is>
          <t>« Quatre-vingt-dix jours suffisent a construire un dispositif defendable ; huit heures par trimestre suffisent a le maintenir. L'ecart de cout entre les deux est tel qu'aucune raison rationnelle ne justifie de laisser un dispositif se perimer. » Le livre a raison sur la conclusion. Le motif qu'il donne ne la porte pas.</t>
        </is>
      </c>
    </row>
    <row r="4">
      <c r="A4" s="8" t="inlineStr">
        <is>
          <t>Annees</t>
        </is>
      </c>
      <c r="B4" s="8" t="inlineStr">
        <is>
          <t>Maintenir : heures cumulees</t>
        </is>
      </c>
      <c r="C4" s="8" t="inlineStr">
        <is>
          <t>Maintenir : euros cumules</t>
        </is>
      </c>
      <c r="D4" s="8" t="inlineStr">
        <is>
          <t>Reconstruire une fois : euros</t>
        </is>
      </c>
      <c r="E4" s="8" t="inlineStr">
        <is>
          <t>Ecart</t>
        </is>
      </c>
    </row>
    <row r="5">
      <c r="A5" s="10" t="n">
        <v>0</v>
      </c>
      <c r="B5" s="9">
        <f>A5*'1 Les chiffres du livre'!$B$19*4</f>
        <v/>
      </c>
      <c r="C5" s="10">
        <f>B5*'1 Les chiffres du livre'!$B$37</f>
        <v/>
      </c>
      <c r="D5" s="10">
        <f>'2 Les heures converties'!E10</f>
        <v/>
      </c>
      <c r="E5" s="10">
        <f>C5-D5</f>
        <v/>
      </c>
      <c r="G5">
        <f>IF(C5&gt;=D5,1,0)</f>
        <v/>
      </c>
    </row>
    <row r="6">
      <c r="A6" s="10" t="n">
        <v>1</v>
      </c>
      <c r="B6" s="9">
        <f>A6*'1 Les chiffres du livre'!$B$19*4</f>
        <v/>
      </c>
      <c r="C6" s="10">
        <f>B6*'1 Les chiffres du livre'!$B$37</f>
        <v/>
      </c>
      <c r="D6" s="10">
        <f>'2 Les heures converties'!E10</f>
        <v/>
      </c>
      <c r="E6" s="10">
        <f>C6-D6</f>
        <v/>
      </c>
      <c r="G6">
        <f>IF(C6&gt;=D6,1,0)</f>
        <v/>
      </c>
    </row>
    <row r="7">
      <c r="A7" s="10" t="n">
        <v>2</v>
      </c>
      <c r="B7" s="9">
        <f>A7*'1 Les chiffres du livre'!$B$19*4</f>
        <v/>
      </c>
      <c r="C7" s="10">
        <f>B7*'1 Les chiffres du livre'!$B$37</f>
        <v/>
      </c>
      <c r="D7" s="10">
        <f>'2 Les heures converties'!E10</f>
        <v/>
      </c>
      <c r="E7" s="10">
        <f>C7-D7</f>
        <v/>
      </c>
      <c r="G7">
        <f>IF(C7&gt;=D7,1,0)</f>
        <v/>
      </c>
    </row>
    <row r="8">
      <c r="A8" s="10" t="n">
        <v>3</v>
      </c>
      <c r="B8" s="9">
        <f>A8*'1 Les chiffres du livre'!$B$19*4</f>
        <v/>
      </c>
      <c r="C8" s="10">
        <f>B8*'1 Les chiffres du livre'!$B$37</f>
        <v/>
      </c>
      <c r="D8" s="10">
        <f>'2 Les heures converties'!E10</f>
        <v/>
      </c>
      <c r="E8" s="10">
        <f>C8-D8</f>
        <v/>
      </c>
      <c r="G8">
        <f>IF(C8&gt;=D8,1,0)</f>
        <v/>
      </c>
    </row>
    <row r="9">
      <c r="A9" s="10" t="n">
        <v>4</v>
      </c>
      <c r="B9" s="9">
        <f>A9*'1 Les chiffres du livre'!$B$19*4</f>
        <v/>
      </c>
      <c r="C9" s="10">
        <f>B9*'1 Les chiffres du livre'!$B$37</f>
        <v/>
      </c>
      <c r="D9" s="10">
        <f>'2 Les heures converties'!E10</f>
        <v/>
      </c>
      <c r="E9" s="10">
        <f>C9-D9</f>
        <v/>
      </c>
      <c r="G9">
        <f>IF(C9&gt;=D9,1,0)</f>
        <v/>
      </c>
    </row>
    <row r="10">
      <c r="A10" s="10" t="n">
        <v>5</v>
      </c>
      <c r="B10" s="9">
        <f>A10*'1 Les chiffres du livre'!$B$19*4</f>
        <v/>
      </c>
      <c r="C10" s="10">
        <f>B10*'1 Les chiffres du livre'!$B$37</f>
        <v/>
      </c>
      <c r="D10" s="10">
        <f>'2 Les heures converties'!E10</f>
        <v/>
      </c>
      <c r="E10" s="10">
        <f>C10-D10</f>
        <v/>
      </c>
      <c r="G10">
        <f>IF(C10&gt;=D10,1,0)</f>
        <v/>
      </c>
    </row>
    <row r="11">
      <c r="A11" s="10" t="n">
        <v>6</v>
      </c>
      <c r="B11" s="9">
        <f>A11*'1 Les chiffres du livre'!$B$19*4</f>
        <v/>
      </c>
      <c r="C11" s="10">
        <f>B11*'1 Les chiffres du livre'!$B$37</f>
        <v/>
      </c>
      <c r="D11" s="10">
        <f>'2 Les heures converties'!E10</f>
        <v/>
      </c>
      <c r="E11" s="10">
        <f>C11-D11</f>
        <v/>
      </c>
      <c r="G11">
        <f>IF(C11&gt;=D11,1,0)</f>
        <v/>
      </c>
    </row>
    <row r="12">
      <c r="A12" s="10" t="n">
        <v>7</v>
      </c>
      <c r="B12" s="9">
        <f>A12*'1 Les chiffres du livre'!$B$19*4</f>
        <v/>
      </c>
      <c r="C12" s="10">
        <f>B12*'1 Les chiffres du livre'!$B$37</f>
        <v/>
      </c>
      <c r="D12" s="10">
        <f>'2 Les heures converties'!E10</f>
        <v/>
      </c>
      <c r="E12" s="10">
        <f>C12-D12</f>
        <v/>
      </c>
      <c r="G12">
        <f>IF(C12&gt;=D12,1,0)</f>
        <v/>
      </c>
    </row>
    <row r="13">
      <c r="A13" s="10" t="n">
        <v>8</v>
      </c>
      <c r="B13" s="9">
        <f>A13*'1 Les chiffres du livre'!$B$19*4</f>
        <v/>
      </c>
      <c r="C13" s="10">
        <f>B13*'1 Les chiffres du livre'!$B$37</f>
        <v/>
      </c>
      <c r="D13" s="10">
        <f>'2 Les heures converties'!E10</f>
        <v/>
      </c>
      <c r="E13" s="10">
        <f>C13-D13</f>
        <v/>
      </c>
      <c r="G13">
        <f>IF(C13&gt;=D13,1,0)</f>
        <v/>
      </c>
    </row>
    <row r="14">
      <c r="A14" s="10" t="n">
        <v>9</v>
      </c>
      <c r="B14" s="9">
        <f>A14*'1 Les chiffres du livre'!$B$19*4</f>
        <v/>
      </c>
      <c r="C14" s="10">
        <f>B14*'1 Les chiffres du livre'!$B$37</f>
        <v/>
      </c>
      <c r="D14" s="10">
        <f>'2 Les heures converties'!E10</f>
        <v/>
      </c>
      <c r="E14" s="10">
        <f>C14-D14</f>
        <v/>
      </c>
      <c r="G14">
        <f>IF(C14&gt;=D14,1,0)</f>
        <v/>
      </c>
    </row>
    <row r="15">
      <c r="A15" s="10" t="n">
        <v>10</v>
      </c>
      <c r="B15" s="9">
        <f>A15*'1 Les chiffres du livre'!$B$19*4</f>
        <v/>
      </c>
      <c r="C15" s="10">
        <f>B15*'1 Les chiffres du livre'!$B$37</f>
        <v/>
      </c>
      <c r="D15" s="10">
        <f>'2 Les heures converties'!E10</f>
        <v/>
      </c>
      <c r="E15" s="10">
        <f>C15-D15</f>
        <v/>
      </c>
      <c r="G15">
        <f>IF(C15&gt;=D15,1,0)</f>
        <v/>
      </c>
    </row>
    <row r="16">
      <c r="A16" s="10" t="n">
        <v>11</v>
      </c>
      <c r="B16" s="9">
        <f>A16*'1 Les chiffres du livre'!$B$19*4</f>
        <v/>
      </c>
      <c r="C16" s="10">
        <f>B16*'1 Les chiffres du livre'!$B$37</f>
        <v/>
      </c>
      <c r="D16" s="10">
        <f>'2 Les heures converties'!E10</f>
        <v/>
      </c>
      <c r="E16" s="10">
        <f>C16-D16</f>
        <v/>
      </c>
      <c r="G16">
        <f>IF(C16&gt;=D16,1,0)</f>
        <v/>
      </c>
    </row>
    <row r="17">
      <c r="A17" s="10" t="n">
        <v>12</v>
      </c>
      <c r="B17" s="9">
        <f>A17*'1 Les chiffres du livre'!$B$19*4</f>
        <v/>
      </c>
      <c r="C17" s="10">
        <f>B17*'1 Les chiffres du livre'!$B$37</f>
        <v/>
      </c>
      <c r="D17" s="10">
        <f>'2 Les heures converties'!E10</f>
        <v/>
      </c>
      <c r="E17" s="10">
        <f>C17-D17</f>
        <v/>
      </c>
      <c r="G17">
        <f>IF(C17&gt;=D17,1,0)</f>
        <v/>
      </c>
    </row>
    <row r="18">
      <c r="A18" s="10" t="n">
        <v>13</v>
      </c>
      <c r="B18" s="9">
        <f>A18*'1 Les chiffres du livre'!$B$19*4</f>
        <v/>
      </c>
      <c r="C18" s="10">
        <f>B18*'1 Les chiffres du livre'!$B$37</f>
        <v/>
      </c>
      <c r="D18" s="10">
        <f>'2 Les heures converties'!E10</f>
        <v/>
      </c>
      <c r="E18" s="10">
        <f>C18-D18</f>
        <v/>
      </c>
      <c r="G18">
        <f>IF(C18&gt;=D18,1,0)</f>
        <v/>
      </c>
    </row>
    <row r="19">
      <c r="A19" s="10" t="n">
        <v>14</v>
      </c>
      <c r="B19" s="9">
        <f>A19*'1 Les chiffres du livre'!$B$19*4</f>
        <v/>
      </c>
      <c r="C19" s="10">
        <f>B19*'1 Les chiffres du livre'!$B$37</f>
        <v/>
      </c>
      <c r="D19" s="10">
        <f>'2 Les heures converties'!E10</f>
        <v/>
      </c>
      <c r="E19" s="10">
        <f>C19-D19</f>
        <v/>
      </c>
      <c r="G19">
        <f>IF(C19&gt;=D19,1,0)</f>
        <v/>
      </c>
    </row>
    <row r="20">
      <c r="A20" s="10" t="n">
        <v>15</v>
      </c>
      <c r="B20" s="9">
        <f>A20*'1 Les chiffres du livre'!$B$19*4</f>
        <v/>
      </c>
      <c r="C20" s="10">
        <f>B20*'1 Les chiffres du livre'!$B$37</f>
        <v/>
      </c>
      <c r="D20" s="10">
        <f>'2 Les heures converties'!E10</f>
        <v/>
      </c>
      <c r="E20" s="10">
        <f>C20-D20</f>
        <v/>
      </c>
      <c r="G20">
        <f>IF(C20&gt;=D20,1,0)</f>
        <v/>
      </c>
    </row>
    <row r="22">
      <c r="A22" t="inlineStr">
        <is>
          <t>Annee ou maintenir a coute autant que reconstruire</t>
        </is>
      </c>
      <c r="B22" s="12">
        <f>INDEX(A5:A20,MATCH(1,G5:G20,0))</f>
        <v/>
      </c>
      <c r="G22" s="2" t="inlineStr">
        <is>
          <t>⚠ Passe cette annee-la, l'ecart de cout invoque par le § 851 s'est inverse : entretenir a coute plus cher que laisser perimer et reconstruire. Sur une carriere entiere, l'entretien coute une dizaine de fois la construction.</t>
        </is>
      </c>
    </row>
    <row r="23">
      <c r="A23" t="inlineStr">
        <is>
          <t>En valeur exacte</t>
        </is>
      </c>
      <c r="B23" s="22">
        <f>'2 Les heures converties'!B19</f>
        <v/>
      </c>
    </row>
    <row r="24">
      <c r="A24" t="inlineStr">
        <is>
          <t>Sur la carriere consideree, maintenir coute</t>
        </is>
      </c>
      <c r="B24" s="14">
        <f>'1 Les chiffres du livre'!$B$38*'2 Les heures converties'!B15</f>
        <v/>
      </c>
    </row>
    <row r="25">
      <c r="A25" t="inlineStr">
        <is>
          <t>Reconstruire une fois coute</t>
        </is>
      </c>
      <c r="B25" s="14">
        <f>'2 Les heures converties'!B14</f>
        <v/>
      </c>
    </row>
    <row r="26">
      <c r="A26" t="inlineStr">
        <is>
          <t>Rapport</t>
        </is>
      </c>
      <c r="B26" s="24">
        <f>B24/B25</f>
        <v/>
      </c>
      <c r="G26" s="2" t="inlineStr">
        <is>
          <t>La conclusion du livre reste juste, mais pour une autre raison, qu'il enonce lui-meme ailleurs : au § 729, le grief se constate par une simple absence AU JOUR DU CONTROLE, et au § 714, « la regularisation posterieure au controle n'efface pas le manquement ». Le risque est continu ; la reconstruction, elle, arrive toujours trop tard. C'est un argument de risque, pas un argument de cout — et c'est le seul qui tienne.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1"/>
  <sheetViews>
    <sheetView showGridLines="0" workbookViewId="0">
      <pane ySplit="4" topLeftCell="A5" activePane="bottomLeft" state="frozen"/>
      <selection pane="bottomLeft" activeCell="A1" sqref="A1"/>
    </sheetView>
  </sheetViews>
  <sheetFormatPr baseColWidth="8" defaultRowHeight="15"/>
  <cols>
    <col width="6" customWidth="1" min="1" max="1"/>
    <col width="76" customWidth="1" min="2" max="2"/>
    <col width="18" customWidth="1" min="3" max="3"/>
    <col width="18" customWidth="1" min="4" max="4"/>
    <col width="12" customWidth="1" min="5" max="5"/>
  </cols>
  <sheetData>
    <row r="1">
      <c r="A1" s="1" t="inlineStr">
        <is>
          <t>Controles</t>
        </is>
      </c>
    </row>
    <row r="2">
      <c r="A2" s="2" t="inlineStr">
        <is>
          <t>Chaque ligne verifie soit un chiffre imprime dans le livre, soit une identite qui doit tenir. Plusieurs verifient la meme grandeur par deux chemins. Si vous changez une entree et qu'une ligne passe a ERREUR, la feuille vous dit quelque chose de vrai.</t>
        </is>
      </c>
    </row>
    <row r="4">
      <c r="A4" s="8" t="inlineStr">
        <is>
          <t>N°</t>
        </is>
      </c>
      <c r="B4" s="8" t="inlineStr">
        <is>
          <t>Ce qui est verifie</t>
        </is>
      </c>
      <c r="C4" s="8" t="inlineStr">
        <is>
          <t>Attendu</t>
        </is>
      </c>
      <c r="D4" s="8" t="inlineStr">
        <is>
          <t>Obtenu</t>
        </is>
      </c>
      <c r="E4" s="8" t="inlineStr">
        <is>
          <t>Resultat</t>
        </is>
      </c>
    </row>
    <row r="5">
      <c r="A5" t="n">
        <v>1</v>
      </c>
      <c r="B5" t="inlineStr">
        <is>
          <t>Phase 1 : le livre annonce huit a douze heures</t>
        </is>
      </c>
      <c r="C5">
        <f>8</f>
        <v/>
      </c>
      <c r="D5">
        <f>'1 Les chiffres du livre'!$B$5</f>
        <v/>
      </c>
      <c r="E5" s="11">
        <f>IF(ABS(D5-C5)&lt;1e-09,"PASS","ERREUR")</f>
        <v/>
      </c>
    </row>
    <row r="6">
      <c r="A6" t="n">
        <v>2</v>
      </c>
      <c r="B6" t="inlineStr">
        <is>
          <t>Phase 2 : quinze a vingt heures</t>
        </is>
      </c>
      <c r="C6">
        <f>20</f>
        <v/>
      </c>
      <c r="D6">
        <f>'1 Les chiffres du livre'!$B$8</f>
        <v/>
      </c>
      <c r="E6" s="11">
        <f>IF(ABS(D6-C6)&lt;1e-09,"PASS","ERREUR")</f>
        <v/>
      </c>
    </row>
    <row r="7">
      <c r="A7" t="n">
        <v>3</v>
      </c>
      <c r="B7" t="inlineStr">
        <is>
          <t>Phase 3 : deux heures hebdomadaires sur vingt-cinq jours</t>
        </is>
      </c>
      <c r="C7">
        <f>2*25/7</f>
        <v/>
      </c>
      <c r="D7">
        <f>'1 Les chiffres du livre'!$B$11*'1 Les chiffres du livre'!$B$12/7</f>
        <v/>
      </c>
      <c r="E7" s="11">
        <f>IF(ABS(D7-C7)&lt;1e-09,"PASS","ERREUR")</f>
        <v/>
      </c>
    </row>
    <row r="8">
      <c r="A8" t="n">
        <v>4</v>
      </c>
      <c r="B8" t="inlineStr">
        <is>
          <t>Phase 3 : cinquante dossiers a dix minutes font huit heures et vingt</t>
        </is>
      </c>
      <c r="C8">
        <f>50*10/60</f>
        <v/>
      </c>
      <c r="D8">
        <f>'1 Les chiffres du livre'!$B$13*'1 Les chiffres du livre'!$B$15/60</f>
        <v/>
      </c>
      <c r="E8" s="11">
        <f>IF(ABS(D8-C8)&lt;1e-09,"PASS","ERREUR")</f>
        <v/>
      </c>
    </row>
    <row r="9">
      <c r="A9" t="n">
        <v>5</v>
      </c>
      <c r="B9" t="inlineStr">
        <is>
          <t>Phase 4 : douze a dix-huit heures</t>
        </is>
      </c>
      <c r="C9">
        <f>18</f>
        <v/>
      </c>
      <c r="D9">
        <f>'1 Les chiffres du livre'!$B$18</f>
        <v/>
      </c>
      <c r="E9" s="11">
        <f>IF(ABS(D9-C9)&lt;1e-09,"PASS","ERREUR")</f>
        <v/>
      </c>
    </row>
    <row r="10">
      <c r="A10" t="n">
        <v>6</v>
      </c>
      <c r="B10" t="inlineStr">
        <is>
          <t>Construction : le total bas depasse cinquante heures</t>
        </is>
      </c>
      <c r="C10">
        <f>"OUI"</f>
        <v/>
      </c>
      <c r="D10">
        <f>IF('2 Les heures converties'!B10&gt;50,"OUI","NON")</f>
        <v/>
      </c>
      <c r="E10" s="11">
        <f>IF(EXACT(C10,D10),"PASS","ERREUR")</f>
        <v/>
      </c>
    </row>
    <row r="11">
      <c r="A11" t="n">
        <v>7</v>
      </c>
      <c r="B11" t="inlineStr">
        <is>
          <t>Construction : le total haut reste sous quatre-vingts heures</t>
        </is>
      </c>
      <c r="C11">
        <f>"OUI"</f>
        <v/>
      </c>
      <c r="D11">
        <f>IF('2 Les heures converties'!C10&lt;80,"OUI","NON")</f>
        <v/>
      </c>
      <c r="E11" s="11">
        <f>IF(EXACT(C11,D11),"PASS","ERREUR")</f>
        <v/>
      </c>
    </row>
    <row r="12">
      <c r="A12" t="n">
        <v>8</v>
      </c>
      <c r="B12" t="inlineStr">
        <is>
          <t>Maintenance : huit heures par trimestre font trente-deux heures par an</t>
        </is>
      </c>
      <c r="C12">
        <f>32</f>
        <v/>
      </c>
      <c r="D12">
        <f>'2 Les heures converties'!B12</f>
        <v/>
      </c>
      <c r="E12" s="11">
        <f>IF(ABS(D12-C12)&lt;1e-09,"PASS","ERREUR")</f>
        <v/>
      </c>
    </row>
    <row r="13">
      <c r="A13" t="n">
        <v>9</v>
      </c>
      <c r="B13" t="inlineStr">
        <is>
          <t>Conversion : les euros sont bien les heures multipliees par le cout horaire</t>
        </is>
      </c>
      <c r="C13">
        <f>'2 Les heures converties'!C10*'1 Les chiffres du livre'!$B$37</f>
        <v/>
      </c>
      <c r="D13">
        <f>'2 Les heures converties'!E10</f>
        <v/>
      </c>
      <c r="E13" s="11">
        <f>IF(ABS(D13-C13)&lt;1e-08,"PASS","ERREUR")</f>
        <v/>
      </c>
    </row>
    <row r="14">
      <c r="A14" t="n">
        <v>10</v>
      </c>
      <c r="B14" t="inlineStr">
        <is>
          <t>Cout de carriere = construction + annees x maintenance (deuxieme chemin)</t>
        </is>
      </c>
      <c r="C14">
        <f>'2 Les heures converties'!E10+'1 Les chiffres du livre'!$B$38*'2 Les heures converties'!E12</f>
        <v/>
      </c>
      <c r="D14">
        <f>'2 Les heures converties'!B16</f>
        <v/>
      </c>
      <c r="E14" s="11">
        <f>IF(ABS(D14-C14)&lt;1e-08,"PASS","ERREUR")</f>
        <v/>
      </c>
    </row>
    <row r="15">
      <c r="A15" t="n">
        <v>11</v>
      </c>
      <c r="B15" t="inlineStr">
        <is>
          <t>La maintenance domine le cout de carriere</t>
        </is>
      </c>
      <c r="C15">
        <f>"OUI"</f>
        <v/>
      </c>
      <c r="D15">
        <f>IF('2 Les heures converties'!B18&gt;0.8,"OUI","NON")</f>
        <v/>
      </c>
      <c r="E15" s="11">
        <f>IF(EXACT(C15,D15),"PASS","ERREUR")</f>
        <v/>
      </c>
    </row>
    <row r="16">
      <c r="A16" t="n">
        <v>12</v>
      </c>
      <c r="B16" t="inlineStr">
        <is>
          <t>La construction pese moins d'un dixieme du cout de carriere</t>
        </is>
      </c>
      <c r="C16">
        <f>"OUI"</f>
        <v/>
      </c>
      <c r="D16">
        <f>IF('2 Les heures converties'!B17&lt;0.10,"OUI","NON")</f>
        <v/>
      </c>
      <c r="E16" s="11">
        <f>IF(EXACT(C16,D16),"PASS","ERREUR")</f>
        <v/>
      </c>
    </row>
    <row r="17">
      <c r="A17" t="n">
        <v>13</v>
      </c>
      <c r="B17" t="inlineStr">
        <is>
          <t>⚠ L'ecart de cout du § 851 s'inverse en moins de trois ans</t>
        </is>
      </c>
      <c r="C17">
        <f>"OUI"</f>
        <v/>
      </c>
      <c r="D17">
        <f>IF('2 Les heures converties'!B19&lt;3,"OUI","NON")</f>
        <v/>
      </c>
      <c r="E17" s="11">
        <f>IF(EXACT(C17,D17),"PASS","ERREUR")</f>
        <v/>
      </c>
    </row>
    <row r="18">
      <c r="A18" t="n">
        <v>14</v>
      </c>
      <c r="B18" t="inlineStr">
        <is>
          <t>Feuille 6 : l'annee de bascule confirme la feuille 2</t>
        </is>
      </c>
      <c r="C18">
        <f>ROUNDUP('2 Les heures converties'!B19,0)</f>
        <v/>
      </c>
      <c r="D18">
        <f>'6 Maintenir ou reconstruire'!B22</f>
        <v/>
      </c>
      <c r="E18" s="11">
        <f>IF(ABS(D18-C18)&lt;1e-09,"PASS","ERREUR")</f>
        <v/>
      </c>
    </row>
    <row r="19">
      <c r="A19" t="n">
        <v>15</v>
      </c>
      <c r="B19" t="inlineStr">
        <is>
          <t>Feuille 3 : a 1 % par an sur 25 ans, la probabilite cumulee depasse 20 %</t>
        </is>
      </c>
      <c r="C19">
        <f>"OUI"</f>
        <v/>
      </c>
      <c r="D19">
        <f>IF('3 Probabilite de carriere'!F7&gt;0.20,"OUI","NON")</f>
        <v/>
      </c>
      <c r="E19" s="11">
        <f>IF(EXACT(C19,D19),"PASS","ERREUR")</f>
        <v/>
      </c>
    </row>
    <row r="20">
      <c r="A20" t="n">
        <v>16</v>
      </c>
      <c r="B20" t="inlineStr">
        <is>
          <t>Feuille 3 : a 3 % par an sur 25 ans, elle depasse une chance sur deux</t>
        </is>
      </c>
      <c r="C20">
        <f>"OUI"</f>
        <v/>
      </c>
      <c r="D20">
        <f>IF('3 Probabilite de carriere'!F11&gt;0.50,"OUI","NON")</f>
        <v/>
      </c>
      <c r="E20" s="11">
        <f>IF(EXACT(C20,D20),"PASS","ERREUR")</f>
        <v/>
      </c>
    </row>
    <row r="21">
      <c r="A21" t="n">
        <v>17</v>
      </c>
      <c r="B21" t="inlineStr">
        <is>
          <t>Feuille 3 : la formule est bien 1-(1-p)^n</t>
        </is>
      </c>
      <c r="C21">
        <f>1-(1-0.02)^25</f>
        <v/>
      </c>
      <c r="D21">
        <f>'3 Probabilite de carriere'!F9</f>
        <v/>
      </c>
      <c r="E21" s="11">
        <f>IF(ABS(D21-C21)&lt;1e-09,"PASS","ERREUR")</f>
        <v/>
      </c>
    </row>
    <row r="22">
      <c r="A22" t="n">
        <v>18</v>
      </c>
      <c r="B22" t="inlineStr">
        <is>
          <t>Feuille 3 : la probabilite cumulee croit avec la duree</t>
        </is>
      </c>
      <c r="C22">
        <f>"OUI"</f>
        <v/>
      </c>
      <c r="D22">
        <f>IF('3 Probabilite de carriere'!G9&gt;'3 Probabilite de carriere'!B9,"OUI","NON")</f>
        <v/>
      </c>
      <c r="E22" s="11">
        <f>IF(EXACT(C22,D22),"PASS","ERREUR")</f>
        <v/>
      </c>
    </row>
    <row r="23">
      <c r="A23" t="n">
        <v>19</v>
      </c>
      <c r="B23" t="inlineStr">
        <is>
          <t>Feuille 4 : 15 publications sur 28 decisions immobilieres en 2023</t>
        </is>
      </c>
      <c r="C23">
        <f>15/28</f>
        <v/>
      </c>
      <c r="D23">
        <f>'4 Les cinq lignes'!B12</f>
        <v/>
      </c>
      <c r="E23" s="11">
        <f>IF(ABS(D23-C23)&lt;1e-09,"PASS","ERREUR")</f>
        <v/>
      </c>
    </row>
    <row r="24">
      <c r="A24" t="n">
        <v>20</v>
      </c>
      <c r="B24" t="inlineStr">
        <is>
          <t>Feuille 4 : la publication concerne la majorite des decisions</t>
        </is>
      </c>
      <c r="C24">
        <f>"OUI"</f>
        <v/>
      </c>
      <c r="D24">
        <f>IF('4 Les cinq lignes'!B12&gt;0.5,"OUI","NON")</f>
        <v/>
      </c>
      <c r="E24" s="11">
        <f>IF(EXACT(C24,D24),"PASS","ERREUR")</f>
        <v/>
      </c>
    </row>
    <row r="25">
      <c r="A25" t="n">
        <v>21</v>
      </c>
      <c r="B25" t="inlineStr">
        <is>
          <t>Feuille 4 : les cinq lignes s'additionnent au total</t>
        </is>
      </c>
      <c r="C25">
        <f>'4 Les cinq lignes'!B5+'4 Les cinq lignes'!B6+'4 Les cinq lignes'!B7+'4 Les cinq lignes'!B8+'4 Les cinq lignes'!B9</f>
        <v/>
      </c>
      <c r="D25">
        <f>'4 Les cinq lignes'!B10</f>
        <v/>
      </c>
      <c r="E25" s="11">
        <f>IF(ABS(D25-C25)&lt;1e-08,"PASS","ERREUR")</f>
        <v/>
      </c>
    </row>
    <row r="26">
      <c r="A26" t="n">
        <v>22</v>
      </c>
      <c r="B26" t="inlineStr">
        <is>
          <t>Feuille 4 : mandats a perdre pour egaler l'amende moyenne</t>
        </is>
      </c>
      <c r="C26">
        <f>23346/4500</f>
        <v/>
      </c>
      <c r="D26">
        <f>'4 Les cinq lignes'!B14</f>
        <v/>
      </c>
      <c r="E26" s="11">
        <f>IF(ABS(D26-C26)&lt;1e-08,"PASS","ERREUR")</f>
        <v/>
      </c>
    </row>
    <row r="27">
      <c r="A27" t="n">
        <v>23</v>
      </c>
      <c r="B27" t="inlineStr">
        <is>
          <t>Feuille 4 : le seuil d'interdiction de deux mois est de 25 000 euros de marge</t>
        </is>
      </c>
      <c r="C27">
        <f>50000/2</f>
        <v/>
      </c>
      <c r="D27">
        <f>'4 Les cinq lignes'!B16</f>
        <v/>
      </c>
      <c r="E27" s="11">
        <f>IF(ABS(D27-C27)&lt;1e-09,"PASS","ERREUR")</f>
        <v/>
      </c>
    </row>
    <row r="28">
      <c r="A28" t="n">
        <v>24</v>
      </c>
      <c r="B28" t="inlineStr">
        <is>
          <t>Feuille 4 : six mois d'interdiction depassent l'amende la plus lourde du bareme</t>
        </is>
      </c>
      <c r="C28">
        <f>"OUI"</f>
        <v/>
      </c>
      <c r="D28">
        <f>IF('4 Les cinq lignes'!B19&gt;1,"OUI","NON")</f>
        <v/>
      </c>
      <c r="E28" s="11">
        <f>IF(EXACT(C28,D28),"PASS","ERREUR")</f>
        <v/>
      </c>
    </row>
    <row r="29">
      <c r="A29" t="n">
        <v>25</v>
      </c>
      <c r="B29" t="inlineStr">
        <is>
          <t>Feuille 5 : le cout du dispositif reprend la feuille 2</t>
        </is>
      </c>
      <c r="C29">
        <f>'2 Les heures converties'!B16</f>
        <v/>
      </c>
      <c r="D29">
        <f>'5 L arbitrage'!B5</f>
        <v/>
      </c>
      <c r="E29" s="11">
        <f>IF(ABS(D29-C29)&lt;1e-09,"PASS","ERREUR")</f>
        <v/>
      </c>
    </row>
    <row r="30">
      <c r="A30" t="n">
        <v>26</v>
      </c>
      <c r="B30" t="inlineStr">
        <is>
          <t>⚠ Feuille 5 : sur l'amende seule, il faut PLUS D'UNE sanction pour rentabiliser le plan</t>
        </is>
      </c>
      <c r="C30">
        <f>"OUI"</f>
        <v/>
      </c>
      <c r="D30">
        <f>IF('5 L arbitrage'!B8&gt;1,"OUI","NON")</f>
        <v/>
      </c>
      <c r="E30" s="11">
        <f>IF(EXACT(C30,D30),"PASS","ERREUR")</f>
        <v/>
      </c>
    </row>
    <row r="31">
      <c r="A31" t="n">
        <v>27</v>
      </c>
      <c r="B31" t="inlineStr">
        <is>
          <t>⚠ Feuille 5 : avec l'interdiction, il en faut MOINS D'UNE</t>
        </is>
      </c>
      <c r="C31">
        <f>"OUI"</f>
        <v/>
      </c>
      <c r="D31">
        <f>IF('5 L arbitrage'!B17&lt;1,"OUI","NON")</f>
        <v/>
      </c>
      <c r="E31" s="11">
        <f>IF(EXACT(C31,D31),"PASS","ERREUR")</f>
        <v/>
      </c>
    </row>
    <row r="32">
      <c r="A32" t="n">
        <v>28</v>
      </c>
      <c r="B32" t="inlineStr">
        <is>
          <t>Feuille 5 : l'interdiction fait donc basculer la decision</t>
        </is>
      </c>
      <c r="C32">
        <f>"OUI"</f>
        <v/>
      </c>
      <c r="D32">
        <f>IF(AND('5 L arbitrage'!B8&gt;1,'5 L arbitrage'!B17&lt;1),"OUI","NON")</f>
        <v/>
      </c>
      <c r="E32" s="11">
        <f>IF(EXACT(C32,D32),"PASS","ERREUR")</f>
        <v/>
      </c>
    </row>
    <row r="33">
      <c r="A33" t="n">
        <v>29</v>
      </c>
      <c r="B33" t="inlineStr">
        <is>
          <t>Feuille 5 : la probabilite au point mort baisse quand l'interdiction est comptee</t>
        </is>
      </c>
      <c r="C33">
        <f>"OUI"</f>
        <v/>
      </c>
      <c r="D33">
        <f>IF('5 L arbitrage'!B18&lt;'5 L arbitrage'!B9,"OUI","NON")</f>
        <v/>
      </c>
      <c r="E33" s="11">
        <f>IF(EXACT(C33,D33),"PASS","ERREUR")</f>
        <v/>
      </c>
    </row>
    <row r="34">
      <c r="A34" t="n">
        <v>30</v>
      </c>
      <c r="B34" t="inlineStr">
        <is>
          <t>Feuille 5 : le point mort reporte en feuille 3 est le meme</t>
        </is>
      </c>
      <c r="C34">
        <f>'5 L arbitrage'!B9</f>
        <v/>
      </c>
      <c r="D34">
        <f>'3 Probabilite de carriere'!B19</f>
        <v/>
      </c>
      <c r="E34" s="11">
        <f>IF(ABS(D34-C34)&lt;1e-12,"PASS","ERREUR")</f>
        <v/>
      </c>
    </row>
    <row r="35">
      <c r="A35" t="n">
        <v>31</v>
      </c>
      <c r="B35" t="inlineStr">
        <is>
          <t>Feuille 5 : la probabilite de controle se deduit bien de 1 296 divise par le parc</t>
        </is>
      </c>
      <c r="C35">
        <f>1296/'5 L arbitrage'!B23</f>
        <v/>
      </c>
      <c r="D35">
        <f>'5 L arbitrage'!B24</f>
        <v/>
      </c>
      <c r="E35" s="11">
        <f>IF(ABS(D35-C35)&lt;1e-12,"PASS","ERREUR")</f>
        <v/>
      </c>
    </row>
    <row r="36">
      <c r="A36" t="n">
        <v>32</v>
      </c>
      <c r="B36" t="inlineStr">
        <is>
          <t>Le plafond legal de cinq millions est bien cent fois l'amende la plus lourde du bareme immobilier 2023</t>
        </is>
      </c>
      <c r="C36">
        <f>100</f>
        <v/>
      </c>
      <c r="D36">
        <f>'1 Les chiffres du livre'!$B$34/'1 Les chiffres du livre'!$B$31</f>
        <v/>
      </c>
      <c r="E36" s="11">
        <f>IF(ABS(D36-C36)&lt;1e-09,"PASS","ERREUR")</f>
        <v/>
      </c>
    </row>
    <row r="37">
      <c r="A37" t="n">
        <v>33</v>
      </c>
      <c r="B37" t="inlineStr">
        <is>
          <t>L'amende moyenne 2025 vaut plus du double de la moyenne 2021-2025</t>
        </is>
      </c>
      <c r="C37">
        <f>"OUI"</f>
        <v/>
      </c>
      <c r="D37">
        <f>IF('1 Les chiffres du livre'!$B$27&gt;2*'1 Les chiffres du livre'!$B$26/'1 Les chiffres du livre'!$B$25,"OUI","NON")</f>
        <v/>
      </c>
      <c r="E37" s="11">
        <f>IF(EXACT(C37,D37),"PASS","ERREUR")</f>
        <v/>
      </c>
    </row>
    <row r="38">
      <c r="A38" t="n">
        <v>34</v>
      </c>
      <c r="B38" t="inlineStr">
        <is>
          <t>Moyenne 2021-2025, calculee</t>
        </is>
      </c>
      <c r="C38">
        <f>1900000/207</f>
        <v/>
      </c>
      <c r="D38">
        <f>'1 Les chiffres du livre'!$B$26/'1 Les chiffres du livre'!$B$25</f>
        <v/>
      </c>
      <c r="E38" s="11">
        <f>IF(ABS(D38-C38)&lt;1e-08,"PASS","ERREUR")</f>
        <v/>
      </c>
    </row>
    <row r="40">
      <c r="B40" s="11" t="inlineStr">
        <is>
          <t>PASS comptes</t>
        </is>
      </c>
      <c r="E40" s="23">
        <f>COUNTIF(E5:E38,"PASS")</f>
        <v/>
      </c>
    </row>
    <row r="41">
      <c r="B41" s="11" t="inlineStr">
        <is>
          <t>Controles au total</t>
        </is>
      </c>
      <c r="E41" s="11" t="n">
        <v>34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2026-08-22T18:34:05Z</dcterms:created>
  <dcterms:modified xmlns:dcterms="http://purl.org/dc/terms/" xmlns:xsi="http://www.w3.org/2001/XMLSchema-instance" xsi:type="dcterms:W3CDTF">2026-08-22T18:34:05Z</dcterms:modified>
</cp:coreProperties>
</file>